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doas.ga.gov/assets/State Purchasing/Process Improvement Documents/"/>
    </mc:Choice>
  </mc:AlternateContent>
  <bookViews>
    <workbookView xWindow="0" yWindow="0" windowWidth="18816" windowHeight="6888" firstSheet="1" activeTab="1"/>
  </bookViews>
  <sheets>
    <sheet name="Acerno_Cache_XXXXX" sheetId="7" state="veryHidden" r:id="rId1"/>
    <sheet name="Solicitation Information" sheetId="6" r:id="rId2"/>
    <sheet name="Sole Source Scorecard" sheetId="4" r:id="rId3"/>
  </sheets>
  <definedNames>
    <definedName name="_xlnm._FilterDatabase" localSheetId="2" hidden="1">'Sole Source Scorecard'!$A$2:$M$29</definedName>
    <definedName name="answer_status">'Sole Source Scorecard'!$M:$M</definedName>
    <definedName name="comp_level">'Sole Source Scorecard'!$E:$E</definedName>
    <definedName name="drop_downs">'Sole Source Scorecard'!$E$4:$E$29</definedName>
    <definedName name="gap">'Sole Source Scorecard'!$K:$K</definedName>
    <definedName name="gpm_pts">'Solicitation Information'!$C$15</definedName>
    <definedName name="law_pts">'Solicitation Information'!$C$14</definedName>
    <definedName name="max_score">'Sole Source Scorecard'!$G:$G</definedName>
    <definedName name="not_started">'Sole Source Scorecard'!$Q$4</definedName>
    <definedName name="optional">'Solicitation Information'!$C$17</definedName>
    <definedName name="_xlnm.Print_Area" localSheetId="2">'Sole Source Scorecard'!$A$2:$H$29</definedName>
    <definedName name="_xlnm.Print_Area" localSheetId="1">'Solicitation Information'!$A$1:$J$26</definedName>
    <definedName name="_xlnm.Print_Titles" localSheetId="2">'Sole Source Scorecard'!$1:$2</definedName>
    <definedName name="ref_type">'Solicitation Information'!$A$14:$A$17</definedName>
    <definedName name="reference">'Sole Source Scorecard'!$C:$C</definedName>
    <definedName name="score">'Sole Source Scorecard'!$F:$F</definedName>
    <definedName name="scored">'Sole Source Scorecard'!$J:$J</definedName>
    <definedName name="trng_pts">'Solicitation Information'!$C$16</definedName>
  </definedNames>
  <calcPr calcId="171027"/>
</workbook>
</file>

<file path=xl/calcChain.xml><?xml version="1.0" encoding="utf-8"?>
<calcChain xmlns="http://schemas.openxmlformats.org/spreadsheetml/2006/main">
  <c r="M19" i="4" l="1"/>
  <c r="L19" i="4"/>
  <c r="K19" i="4"/>
  <c r="G19" i="4"/>
  <c r="F19" i="4"/>
  <c r="E6" i="6" l="1"/>
  <c r="E7" i="6" l="1"/>
  <c r="F26" i="4" l="1"/>
  <c r="F25" i="4"/>
  <c r="F24" i="4"/>
  <c r="F23" i="4"/>
  <c r="F21" i="4"/>
  <c r="F20" i="4"/>
  <c r="F18" i="4"/>
  <c r="F16" i="4"/>
  <c r="F15" i="4"/>
  <c r="F14" i="4"/>
  <c r="F13" i="4"/>
  <c r="F12" i="4"/>
  <c r="F11" i="4"/>
  <c r="F10" i="4"/>
  <c r="F9" i="4"/>
  <c r="F7" i="4"/>
  <c r="F6" i="4"/>
  <c r="F5" i="4"/>
  <c r="F4" i="4"/>
  <c r="M27" i="4" l="1"/>
  <c r="K27" i="4"/>
  <c r="M26" i="4"/>
  <c r="L26" i="4"/>
  <c r="K26" i="4"/>
  <c r="M25" i="4"/>
  <c r="L25" i="4"/>
  <c r="K25" i="4"/>
  <c r="M24" i="4"/>
  <c r="L24" i="4"/>
  <c r="K24" i="4"/>
  <c r="M23" i="4"/>
  <c r="L23" i="4"/>
  <c r="K23" i="4"/>
  <c r="M21" i="4"/>
  <c r="L21" i="4"/>
  <c r="K21" i="4"/>
  <c r="M20" i="4"/>
  <c r="L20" i="4"/>
  <c r="K20" i="4"/>
  <c r="M18" i="4"/>
  <c r="L18" i="4"/>
  <c r="K18" i="4"/>
  <c r="M16" i="4"/>
  <c r="L16" i="4"/>
  <c r="K16" i="4"/>
  <c r="M15" i="4"/>
  <c r="L15" i="4"/>
  <c r="K15" i="4"/>
  <c r="M14" i="4"/>
  <c r="L14" i="4"/>
  <c r="K14" i="4"/>
  <c r="M13" i="4"/>
  <c r="L13" i="4"/>
  <c r="K13" i="4"/>
  <c r="M12" i="4"/>
  <c r="L12" i="4"/>
  <c r="K12" i="4"/>
  <c r="M11" i="4"/>
  <c r="L11" i="4"/>
  <c r="K11" i="4"/>
  <c r="M10" i="4"/>
  <c r="K10" i="4"/>
  <c r="M9" i="4"/>
  <c r="L9" i="4"/>
  <c r="K9" i="4"/>
  <c r="K5" i="4"/>
  <c r="L5" i="4"/>
  <c r="M5" i="4"/>
  <c r="K6" i="4"/>
  <c r="L6" i="4"/>
  <c r="M6" i="4"/>
  <c r="K7" i="4"/>
  <c r="M7" i="4"/>
  <c r="G27" i="4"/>
  <c r="F27" i="4" s="1"/>
  <c r="G26" i="4"/>
  <c r="G25" i="4"/>
  <c r="G24" i="4"/>
  <c r="G23" i="4"/>
  <c r="G21" i="4"/>
  <c r="G20" i="4"/>
  <c r="G18" i="4"/>
  <c r="G16" i="4"/>
  <c r="G15" i="4"/>
  <c r="G14" i="4"/>
  <c r="G13" i="4"/>
  <c r="G12" i="4"/>
  <c r="G11" i="4"/>
  <c r="G10" i="4"/>
  <c r="G9" i="4"/>
  <c r="G5" i="4"/>
  <c r="G6" i="4"/>
  <c r="G7" i="4"/>
  <c r="K4" i="4"/>
  <c r="G4" i="4"/>
  <c r="L27" i="4" l="1"/>
  <c r="L4" i="4"/>
  <c r="L7" i="4"/>
  <c r="L10" i="4"/>
  <c r="M4" i="4"/>
  <c r="F7" i="6" l="1"/>
  <c r="D17" i="6"/>
  <c r="E17" i="6" s="1"/>
  <c r="D16" i="6"/>
  <c r="E16" i="6" s="1"/>
  <c r="D14" i="6"/>
  <c r="E14" i="6" s="1"/>
  <c r="F6" i="6" l="1"/>
  <c r="E17" i="4" l="1"/>
  <c r="K17" i="4" l="1"/>
  <c r="G17" i="4"/>
  <c r="F17" i="4" s="1"/>
  <c r="M17" i="4"/>
  <c r="Q5" i="4" s="1"/>
  <c r="L17" i="4" l="1"/>
  <c r="Q4" i="4"/>
  <c r="Q6" i="4" s="1"/>
  <c r="I14" i="6"/>
  <c r="D15" i="6"/>
  <c r="D18" i="6" s="1"/>
  <c r="H17" i="6" l="1"/>
  <c r="I15" i="6"/>
  <c r="I16" i="6" s="1"/>
  <c r="J14" i="6" s="1"/>
  <c r="E15" i="6"/>
  <c r="E18" i="6" s="1"/>
</calcChain>
</file>

<file path=xl/sharedStrings.xml><?xml version="1.0" encoding="utf-8"?>
<sst xmlns="http://schemas.openxmlformats.org/spreadsheetml/2006/main" count="187" uniqueCount="124">
  <si>
    <t>Requirements</t>
  </si>
  <si>
    <t>Compliance Level</t>
  </si>
  <si>
    <t>Comments</t>
  </si>
  <si>
    <t>6</t>
  </si>
  <si>
    <t>Buyer</t>
  </si>
  <si>
    <t>Title</t>
  </si>
  <si>
    <t>Email</t>
  </si>
  <si>
    <t>Certification</t>
  </si>
  <si>
    <t>Reference</t>
  </si>
  <si>
    <t>Score</t>
  </si>
  <si>
    <t>Training</t>
  </si>
  <si>
    <t>GPM 4.5.9</t>
  </si>
  <si>
    <t>GPM 4.5.8</t>
  </si>
  <si>
    <t>Optional Procedure</t>
  </si>
  <si>
    <t>OCGA 13-10-91; GPM 3.5.1.3.</t>
  </si>
  <si>
    <t>Reference Type</t>
  </si>
  <si>
    <t>GPM 7.5.2</t>
  </si>
  <si>
    <t>Reviewed by</t>
  </si>
  <si>
    <t>Yes</t>
  </si>
  <si>
    <t>Solicitation # / Solicitation Name</t>
  </si>
  <si>
    <t>Posting Date / Closing Date / # of Days</t>
  </si>
  <si>
    <t>Max Score</t>
  </si>
  <si>
    <t>Scored?</t>
  </si>
  <si>
    <t>Actual Score</t>
  </si>
  <si>
    <t>Rating</t>
  </si>
  <si>
    <t>Scoring Methodology</t>
  </si>
  <si>
    <t>Scoring</t>
  </si>
  <si>
    <t>Gap Status</t>
  </si>
  <si>
    <t># of Errors by Reference</t>
  </si>
  <si>
    <t>Max Points Based on Reference Type</t>
  </si>
  <si>
    <t>Lost Points</t>
  </si>
  <si>
    <t>1</t>
  </si>
  <si>
    <t>2</t>
  </si>
  <si>
    <t>3</t>
  </si>
  <si>
    <t>4</t>
  </si>
  <si>
    <t>5</t>
  </si>
  <si>
    <t>7</t>
  </si>
  <si>
    <t>8</t>
  </si>
  <si>
    <t>9</t>
  </si>
  <si>
    <t>12</t>
  </si>
  <si>
    <t>13</t>
  </si>
  <si>
    <t>14</t>
  </si>
  <si>
    <t>15</t>
  </si>
  <si>
    <t>16</t>
  </si>
  <si>
    <t>Entity File Review</t>
  </si>
  <si>
    <t>State Purchasing Division Review Only</t>
  </si>
  <si>
    <t>GPM 7.2.1</t>
  </si>
  <si>
    <t>Was exhaustive market research conducted and documented?</t>
  </si>
  <si>
    <t>If the value of the Sole Source purchase amounts to $500,000 or greater, did the State Entity obtain approval from the State Purchasing Division Agency Sourcing Division prior to posting the notice to the GPR?</t>
  </si>
  <si>
    <t xml:space="preserve">Did the Sole Source Notice justification include the following information:  </t>
  </si>
  <si>
    <t xml:space="preserve">Detailed description, purpose and scope of the goods/services to be purchased? </t>
  </si>
  <si>
    <t>The exact quantity?</t>
  </si>
  <si>
    <t>The expected term of the contract, to include any renewal options?</t>
  </si>
  <si>
    <t>The identity of the sole-source supplier?</t>
  </si>
  <si>
    <t>If the purchase is for goods, was a letter from the Original Equipment Manufacturer attached?</t>
  </si>
  <si>
    <t>Did the award amount and Supplier Name match the NOA posted?</t>
  </si>
  <si>
    <t>5a</t>
  </si>
  <si>
    <t>5b</t>
  </si>
  <si>
    <t>5c</t>
  </si>
  <si>
    <t>5d</t>
  </si>
  <si>
    <t>5e</t>
  </si>
  <si>
    <t>5f</t>
  </si>
  <si>
    <t>5g</t>
  </si>
  <si>
    <t>If applicable, was Proof of Insurance for contract period present in the files?</t>
  </si>
  <si>
    <t>If applicable, was warranty documentation present in the files?</t>
  </si>
  <si>
    <t>Did the purchase order(s) exceed contract amount or contract term?</t>
  </si>
  <si>
    <t>Was a signed contract or Purchase Order, including Terms &amp; Conditions, present in the files or in Team Georgia Marketplace™?</t>
  </si>
  <si>
    <r>
      <t xml:space="preserve">The per unit price, and the total price </t>
    </r>
    <r>
      <rPr>
        <i/>
        <sz val="11"/>
        <color indexed="8"/>
        <rFont val="Calibri"/>
        <family val="2"/>
        <scheme val="minor"/>
      </rPr>
      <t>(i.e. Quantity x unit price)</t>
    </r>
    <r>
      <rPr>
        <sz val="12"/>
        <color indexed="8"/>
        <rFont val="Calibri"/>
        <family val="2"/>
        <scheme val="minor"/>
      </rPr>
      <t>?</t>
    </r>
  </si>
  <si>
    <r>
      <t xml:space="preserve">If the exact quantity is not known, </t>
    </r>
    <r>
      <rPr>
        <sz val="12"/>
        <color indexed="8"/>
        <rFont val="Calibri"/>
        <family val="2"/>
        <scheme val="minor"/>
      </rPr>
      <t xml:space="preserve">the total estimated value of the open contract </t>
    </r>
    <r>
      <rPr>
        <i/>
        <sz val="11"/>
        <color indexed="8"/>
        <rFont val="Calibri"/>
        <family val="2"/>
        <scheme val="minor"/>
      </rPr>
      <t xml:space="preserve">(i.e. Estimated quantity x unit price) </t>
    </r>
    <r>
      <rPr>
        <sz val="12"/>
        <color indexed="8"/>
        <rFont val="Calibri"/>
        <family val="2"/>
        <scheme val="minor"/>
      </rPr>
      <t>included?</t>
    </r>
  </si>
  <si>
    <r>
      <t xml:space="preserve">Was the </t>
    </r>
    <r>
      <rPr>
        <sz val="12"/>
        <color indexed="8"/>
        <rFont val="Calibri"/>
        <family val="2"/>
        <scheme val="minor"/>
      </rPr>
      <t>most current version of the Notice of Award (NOA) completed correctly and posted to the GPR?</t>
    </r>
  </si>
  <si>
    <r>
      <rPr>
        <b/>
        <sz val="12"/>
        <rFont val="Calibri"/>
        <family val="2"/>
        <scheme val="minor"/>
      </rPr>
      <t>FOR SPD ONLY</t>
    </r>
    <r>
      <rPr>
        <sz val="12"/>
        <rFont val="Calibri"/>
        <family val="2"/>
        <scheme val="minor"/>
      </rPr>
      <t xml:space="preserve"> - Was there any Entity correspondence in the Compliance Documents that would be appropriate to this notice?</t>
    </r>
  </si>
  <si>
    <r>
      <t xml:space="preserve">Was the most current </t>
    </r>
    <r>
      <rPr>
        <sz val="12"/>
        <color indexed="8"/>
        <rFont val="Calibri"/>
        <family val="2"/>
        <scheme val="minor"/>
      </rPr>
      <t>Sole Source Justification Form posted to the GPR?</t>
    </r>
  </si>
  <si>
    <t>GPM 2.3.2.2; Table 2.6</t>
  </si>
  <si>
    <t>Was the Sole Source notice posted on the GPR before the purchase was made?</t>
  </si>
  <si>
    <t>See questions below</t>
  </si>
  <si>
    <t>GPM 2.3.2.2; Table 2.6; Table 2.7</t>
  </si>
  <si>
    <t xml:space="preserve">Was the Sole-Source Notice posted to the GPR for the correct posting time as listed in the GPM? </t>
  </si>
  <si>
    <t xml:space="preserve">Was/were the correct 5-digit NIGP Code(s) (not ending in "00") posted for the Sole Source Notice? </t>
  </si>
  <si>
    <t xml:space="preserve">Were instructions to interested suppliers on how to file any challenges to the sole-source included in the posting to the GPR?  </t>
  </si>
  <si>
    <t>Sole Source Notice  ─  Solicitation Information</t>
  </si>
  <si>
    <t>Enter Resulting Contract #</t>
  </si>
  <si>
    <t>Legal Issue</t>
  </si>
  <si>
    <t>Purchase Order #</t>
  </si>
  <si>
    <t>Contract or Purchase Order Date /      Days Since Award Date</t>
  </si>
  <si>
    <t>Vendor ID / Vendor Name</t>
  </si>
  <si>
    <r>
      <t xml:space="preserve">Enter requested information in blue cells.  Unshaded or </t>
    </r>
    <r>
      <rPr>
        <b/>
        <sz val="12"/>
        <color rgb="FFC00000"/>
        <rFont val="Calibri"/>
        <family val="2"/>
        <scheme val="minor"/>
      </rPr>
      <t>red</t>
    </r>
    <r>
      <rPr>
        <b/>
        <sz val="12"/>
        <color rgb="FF7030A0"/>
        <rFont val="Calibri"/>
        <family val="2"/>
        <scheme val="minor"/>
      </rPr>
      <t xml:space="preserve"> cells will populate based on information entered.</t>
    </r>
  </si>
  <si>
    <t>Ranges (Min / Max)</t>
  </si>
  <si>
    <t>Protested? -&gt;</t>
  </si>
  <si>
    <t>Administrative Rules</t>
  </si>
  <si>
    <t>Not Started</t>
  </si>
  <si>
    <t>Answered</t>
  </si>
  <si>
    <t>Total Questions</t>
  </si>
  <si>
    <t>Answer Status</t>
  </si>
  <si>
    <t>Need Identification &amp; Pre-Solicitation</t>
  </si>
  <si>
    <t>Sole Source Notice  ─  Evaluation</t>
  </si>
  <si>
    <t>State Entity Code / State Entity Name</t>
  </si>
  <si>
    <t>Tier</t>
  </si>
  <si>
    <t>&gt;= 95%</t>
  </si>
  <si>
    <t>Excellent</t>
  </si>
  <si>
    <t>Tier I</t>
  </si>
  <si>
    <t>&gt;= 85%</t>
  </si>
  <si>
    <t>&lt;= 94%</t>
  </si>
  <si>
    <t>Acceptable</t>
  </si>
  <si>
    <t>&gt;= 75%</t>
  </si>
  <si>
    <t>&lt;= 84%</t>
  </si>
  <si>
    <t>Marginal</t>
  </si>
  <si>
    <t>Tier II</t>
  </si>
  <si>
    <t>&gt;= 60%</t>
  </si>
  <si>
    <t>&lt;= 74%</t>
  </si>
  <si>
    <t>Underperforming</t>
  </si>
  <si>
    <t>Tier III</t>
  </si>
  <si>
    <t>&lt;=59%</t>
  </si>
  <si>
    <t>Unsatisfactory</t>
  </si>
  <si>
    <t>Tier IV</t>
  </si>
  <si>
    <t>Explanation of Scoring</t>
  </si>
  <si>
    <t>Select the TYPE of Solicitation</t>
  </si>
  <si>
    <t xml:space="preserve">Was there a protest? Select One. </t>
  </si>
  <si>
    <r>
      <t xml:space="preserve">Enter NIGP Code(s) </t>
    </r>
    <r>
      <rPr>
        <b/>
        <sz val="11"/>
        <rFont val="Helvetica"/>
      </rPr>
      <t>→</t>
    </r>
  </si>
  <si>
    <t>Tier I(+)</t>
  </si>
  <si>
    <r>
      <t xml:space="preserve">Was a link to the </t>
    </r>
    <r>
      <rPr>
        <sz val="12"/>
        <color indexed="8"/>
        <rFont val="Calibri"/>
        <family val="2"/>
        <scheme val="minor"/>
      </rPr>
      <t>Department of Audits Immigration Form posted with the notice?</t>
    </r>
  </si>
  <si>
    <r>
      <t xml:space="preserve">Was a complete, notarized copy of the </t>
    </r>
    <r>
      <rPr>
        <sz val="12"/>
        <color indexed="8"/>
        <rFont val="Calibri"/>
        <family val="2"/>
        <scheme val="minor"/>
      </rPr>
      <t>Department of Audits Immigration Form present in the files?</t>
    </r>
  </si>
  <si>
    <t>10</t>
  </si>
  <si>
    <t>17</t>
  </si>
  <si>
    <t>Awarded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</si>
</sst>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name val="Helvetica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6EC7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theme="0"/>
      </bottom>
      <diagonal/>
    </border>
    <border>
      <left/>
      <right/>
      <top style="thin">
        <color rgb="FF0070C0"/>
      </top>
      <bottom style="thin">
        <color theme="0"/>
      </bottom>
      <diagonal/>
    </border>
    <border>
      <left/>
      <right style="thin">
        <color rgb="FF0070C0"/>
      </right>
      <top style="thin">
        <color rgb="FF0070C0"/>
      </top>
      <bottom style="thin">
        <color theme="0"/>
      </bottom>
      <diagonal/>
    </border>
    <border>
      <left style="thin">
        <color rgb="FF0070C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rgb="FF0070C0"/>
      </right>
      <top style="thin">
        <color theme="0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14" fillId="0" borderId="0"/>
    <xf numFmtId="0" fontId="21" fillId="6" borderId="2" applyNumberFormat="0" applyAlignment="0">
      <protection locked="0"/>
    </xf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2" xfId="0" applyFont="1" applyFill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vertical="top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horizontal="center" vertical="center" wrapText="1"/>
    </xf>
    <xf numFmtId="9" fontId="6" fillId="0" borderId="2" xfId="2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top" wrapText="1"/>
    </xf>
    <xf numFmtId="0" fontId="3" fillId="0" borderId="4" xfId="0" applyFont="1" applyFill="1" applyBorder="1" applyAlignment="1" applyProtection="1">
      <alignment vertical="top" wrapText="1"/>
    </xf>
    <xf numFmtId="0" fontId="16" fillId="0" borderId="2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vertical="top" wrapText="1"/>
    </xf>
    <xf numFmtId="0" fontId="19" fillId="0" borderId="2" xfId="0" applyFont="1" applyBorder="1" applyAlignment="1" applyProtection="1">
      <alignment vertical="top" wrapText="1"/>
    </xf>
    <xf numFmtId="49" fontId="16" fillId="0" borderId="2" xfId="0" applyNumberFormat="1" applyFont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5" fillId="3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</xf>
    <xf numFmtId="0" fontId="21" fillId="6" borderId="2" xfId="4" applyNumberFormat="1" applyAlignment="1">
      <alignment horizontal="center" vertical="center" wrapText="1"/>
      <protection locked="0"/>
    </xf>
    <xf numFmtId="44" fontId="21" fillId="6" borderId="2" xfId="4" applyNumberFormat="1" applyAlignment="1">
      <alignment horizontal="right" vertical="center" wrapText="1"/>
      <protection locked="0"/>
    </xf>
    <xf numFmtId="14" fontId="21" fillId="6" borderId="2" xfId="4" applyNumberFormat="1" applyAlignment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left" vertical="top" wrapText="1"/>
    </xf>
    <xf numFmtId="0" fontId="21" fillId="6" borderId="2" xfId="4" applyAlignment="1">
      <alignment horizontal="left" vertical="top" wrapText="1"/>
      <protection locked="0"/>
    </xf>
    <xf numFmtId="0" fontId="21" fillId="6" borderId="13" xfId="4" applyBorder="1" applyAlignment="1">
      <alignment horizontal="left" vertical="top" wrapText="1"/>
      <protection locked="0"/>
    </xf>
    <xf numFmtId="9" fontId="0" fillId="0" borderId="3" xfId="2" applyFont="1" applyBorder="1" applyAlignment="1" applyProtection="1">
      <alignment vertical="center"/>
    </xf>
    <xf numFmtId="9" fontId="0" fillId="0" borderId="1" xfId="2" applyFont="1" applyBorder="1" applyAlignment="1" applyProtection="1">
      <alignment vertical="center"/>
    </xf>
    <xf numFmtId="49" fontId="21" fillId="6" borderId="2" xfId="4" applyNumberFormat="1" applyAlignment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top" wrapText="1"/>
    </xf>
    <xf numFmtId="0" fontId="26" fillId="0" borderId="2" xfId="0" applyFont="1" applyFill="1" applyBorder="1" applyAlignment="1" applyProtection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top" wrapText="1"/>
    </xf>
    <xf numFmtId="0" fontId="25" fillId="0" borderId="2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top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21" fillId="6" borderId="13" xfId="4" applyBorder="1" applyAlignment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0" fontId="21" fillId="6" borderId="2" xfId="4" applyAlignment="1">
      <alignment horizontal="center" vertical="top" wrapText="1"/>
      <protection locked="0"/>
    </xf>
    <xf numFmtId="0" fontId="16" fillId="0" borderId="3" xfId="0" applyFont="1" applyBorder="1" applyAlignment="1" applyProtection="1">
      <alignment vertical="top" wrapText="1"/>
    </xf>
    <xf numFmtId="0" fontId="6" fillId="3" borderId="2" xfId="0" applyFont="1" applyFill="1" applyBorder="1" applyAlignment="1" applyProtection="1">
      <alignment horizontal="center" vertical="top" wrapText="1"/>
    </xf>
    <xf numFmtId="0" fontId="6" fillId="5" borderId="2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center" vertical="top" wrapText="1"/>
    </xf>
    <xf numFmtId="49" fontId="12" fillId="0" borderId="1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horizontal="center" wrapText="1"/>
    </xf>
    <xf numFmtId="0" fontId="24" fillId="0" borderId="2" xfId="0" applyFont="1" applyFill="1" applyBorder="1" applyAlignment="1" applyProtection="1">
      <alignment horizontal="center" wrapText="1"/>
    </xf>
    <xf numFmtId="0" fontId="10" fillId="4" borderId="2" xfId="0" applyFont="1" applyFill="1" applyBorder="1" applyAlignment="1" applyProtection="1">
      <alignment horizontal="center" wrapText="1"/>
    </xf>
    <xf numFmtId="0" fontId="25" fillId="4" borderId="2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center" wrapText="1"/>
    </xf>
    <xf numFmtId="0" fontId="11" fillId="0" borderId="2" xfId="0" applyFont="1" applyFill="1" applyBorder="1" applyAlignment="1" applyProtection="1">
      <alignment wrapText="1"/>
    </xf>
    <xf numFmtId="0" fontId="27" fillId="3" borderId="20" xfId="0" applyFont="1" applyFill="1" applyBorder="1" applyAlignment="1" applyProtection="1">
      <alignment horizontal="center"/>
    </xf>
    <xf numFmtId="9" fontId="0" fillId="0" borderId="18" xfId="2" applyFont="1" applyBorder="1" applyAlignment="1" applyProtection="1">
      <alignment horizontal="center"/>
    </xf>
    <xf numFmtId="9" fontId="0" fillId="0" borderId="19" xfId="2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9" fontId="0" fillId="0" borderId="23" xfId="2" applyFont="1" applyBorder="1" applyAlignment="1" applyProtection="1">
      <alignment horizontal="center"/>
    </xf>
    <xf numFmtId="9" fontId="0" fillId="0" borderId="24" xfId="2" applyFont="1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9" fontId="0" fillId="0" borderId="28" xfId="2" applyFont="1" applyBorder="1" applyAlignment="1" applyProtection="1">
      <alignment horizontal="center"/>
    </xf>
    <xf numFmtId="9" fontId="0" fillId="0" borderId="29" xfId="2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vertical="top" wrapText="1"/>
    </xf>
    <xf numFmtId="0" fontId="3" fillId="0" borderId="14" xfId="0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10" fillId="4" borderId="39" xfId="0" applyFont="1" applyFill="1" applyBorder="1" applyAlignment="1" applyProtection="1">
      <alignment horizontal="center" wrapText="1"/>
    </xf>
    <xf numFmtId="0" fontId="10" fillId="4" borderId="40" xfId="0" applyFont="1" applyFill="1" applyBorder="1" applyAlignment="1" applyProtection="1">
      <alignment horizontal="center" wrapText="1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15" fillId="3" borderId="15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</xf>
    <xf numFmtId="0" fontId="27" fillId="3" borderId="19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right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21" fillId="6" borderId="2" xfId="4" applyNumberFormat="1" applyAlignment="1">
      <alignment horizontal="left" vertical="center" wrapText="1"/>
      <protection locked="0"/>
    </xf>
    <xf numFmtId="49" fontId="21" fillId="6" borderId="2" xfId="4" applyNumberFormat="1" applyAlignment="1">
      <alignment horizontal="left" vertical="center" wrapText="1"/>
      <protection locked="0"/>
    </xf>
    <xf numFmtId="49" fontId="21" fillId="6" borderId="2" xfId="4" applyNumberFormat="1" applyAlignment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right" vertical="center" wrapText="1"/>
    </xf>
    <xf numFmtId="0" fontId="21" fillId="6" borderId="2" xfId="4" applyNumberFormat="1" applyAlignment="1">
      <alignment horizontal="center" vertical="center" wrapText="1"/>
      <protection locked="0"/>
    </xf>
    <xf numFmtId="49" fontId="1" fillId="6" borderId="2" xfId="1" applyNumberFormat="1" applyFill="1" applyBorder="1" applyAlignment="1">
      <alignment horizontal="left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</xf>
    <xf numFmtId="14" fontId="21" fillId="6" borderId="2" xfId="4" applyNumberFormat="1" applyAlignment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49" fontId="3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14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21" fillId="6" borderId="2" xfId="4" applyAlignment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right" vertical="center" wrapText="1"/>
    </xf>
    <xf numFmtId="0" fontId="3" fillId="0" borderId="11" xfId="0" applyNumberFormat="1" applyFont="1" applyFill="1" applyBorder="1" applyAlignment="1" applyProtection="1">
      <alignment horizontal="right" vertical="center" wrapText="1"/>
    </xf>
    <xf numFmtId="0" fontId="3" fillId="0" borderId="5" xfId="0" applyNumberFormat="1" applyFont="1" applyFill="1" applyBorder="1" applyAlignment="1" applyProtection="1">
      <alignment horizontal="right" vertical="center" wrapText="1"/>
    </xf>
    <xf numFmtId="0" fontId="3" fillId="0" borderId="6" xfId="0" applyNumberFormat="1" applyFont="1" applyFill="1" applyBorder="1" applyAlignment="1" applyProtection="1">
      <alignment horizontal="right" vertical="center" wrapText="1"/>
    </xf>
    <xf numFmtId="14" fontId="21" fillId="6" borderId="3" xfId="4" applyNumberFormat="1" applyBorder="1" applyAlignment="1">
      <alignment horizontal="center" vertical="center" wrapText="1"/>
      <protection locked="0"/>
    </xf>
    <xf numFmtId="14" fontId="21" fillId="6" borderId="1" xfId="4" applyNumberFormat="1" applyBorder="1" applyAlignment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center" vertical="top" wrapText="1"/>
    </xf>
    <xf numFmtId="0" fontId="10" fillId="4" borderId="38" xfId="0" applyFont="1" applyFill="1" applyBorder="1" applyAlignment="1" applyProtection="1">
      <alignment horizontal="center" wrapText="1"/>
    </xf>
    <xf numFmtId="0" fontId="10" fillId="4" borderId="39" xfId="0" applyFont="1" applyFill="1" applyBorder="1" applyAlignment="1" applyProtection="1">
      <alignment horizontal="center" wrapText="1"/>
    </xf>
    <xf numFmtId="0" fontId="9" fillId="4" borderId="35" xfId="0" applyFont="1" applyFill="1" applyBorder="1" applyAlignment="1" applyProtection="1">
      <alignment horizontal="center" wrapText="1"/>
    </xf>
    <xf numFmtId="0" fontId="9" fillId="4" borderId="36" xfId="0" applyFont="1" applyFill="1" applyBorder="1" applyAlignment="1" applyProtection="1">
      <alignment horizontal="center" wrapText="1"/>
    </xf>
    <xf numFmtId="0" fontId="9" fillId="4" borderId="37" xfId="0" applyFont="1" applyFill="1" applyBorder="1" applyAlignment="1" applyProtection="1">
      <alignment horizontal="center" wrapText="1"/>
    </xf>
    <xf numFmtId="49" fontId="6" fillId="3" borderId="3" xfId="0" applyNumberFormat="1" applyFont="1" applyFill="1" applyBorder="1" applyAlignment="1" applyProtection="1">
      <alignment horizontal="center" vertical="top" wrapText="1"/>
    </xf>
    <xf numFmtId="49" fontId="6" fillId="3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shrinkToFit="1"/>
    </xf>
  </cellXfs>
  <cellStyles count="7">
    <cellStyle name="Heading 1" xfId="5" builtinId="16" customBuiltin="1"/>
    <cellStyle name="Heading 4" xfId="6" builtinId="19" customBuiltin="1"/>
    <cellStyle name="Hyperlink" xfId="1" builtinId="8"/>
    <cellStyle name="Input" xfId="4" builtinId="20" customBuiltin="1"/>
    <cellStyle name="Normal" xfId="0" builtinId="0"/>
    <cellStyle name="Normal 2" xfId="3"/>
    <cellStyle name="Percent" xfId="2" builtinId="5"/>
  </cellStyles>
  <dxfs count="12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rgb="FF0070C0"/>
      </font>
      <fill>
        <patternFill>
          <bgColor rgb="FFFFFF00"/>
        </patternFill>
      </fill>
    </dxf>
    <dxf>
      <font>
        <b/>
        <i val="0"/>
        <color theme="6" tint="-0.24994659260841701"/>
      </font>
      <fill>
        <patternFill>
          <bgColor theme="6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6E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1" max="16384" width="8.88671875" style="148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K26"/>
  <sheetViews>
    <sheetView tabSelected="1" workbookViewId="0">
      <pane ySplit="2" topLeftCell="A3" activePane="bottomLeft" state="frozen"/>
      <selection pane="bottomLeft" activeCell="C3" sqref="C3"/>
    </sheetView>
  </sheetViews>
  <sheetFormatPr defaultColWidth="9.109375" defaultRowHeight="14.4" x14ac:dyDescent="0.3"/>
  <cols>
    <col min="1" max="1" width="19.6640625" style="18" customWidth="1"/>
    <col min="2" max="2" width="6.109375" style="18" customWidth="1"/>
    <col min="3" max="3" width="16.33203125" style="18" customWidth="1"/>
    <col min="4" max="4" width="14" style="18" customWidth="1"/>
    <col min="5" max="5" width="14.6640625" style="18" customWidth="1"/>
    <col min="6" max="6" width="10.109375" style="18" customWidth="1"/>
    <col min="7" max="7" width="18.33203125" style="18" customWidth="1"/>
    <col min="8" max="8" width="13.44140625" style="18" customWidth="1"/>
    <col min="9" max="9" width="7.44140625" style="18" customWidth="1"/>
    <col min="10" max="10" width="16.5546875" style="18" customWidth="1"/>
    <col min="11" max="16384" width="9.109375" style="18"/>
  </cols>
  <sheetData>
    <row r="1" spans="1:11" s="2" customFormat="1" ht="30" customHeight="1" x14ac:dyDescent="0.3">
      <c r="A1" s="91" t="s">
        <v>79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s="1" customFormat="1" ht="15.6" x14ac:dyDescent="0.3">
      <c r="A2" s="93" t="s">
        <v>85</v>
      </c>
      <c r="B2" s="94"/>
      <c r="C2" s="94"/>
      <c r="D2" s="94"/>
      <c r="E2" s="94"/>
      <c r="F2" s="94"/>
      <c r="G2" s="94"/>
      <c r="H2" s="94"/>
      <c r="I2" s="94"/>
      <c r="J2" s="95"/>
    </row>
    <row r="3" spans="1:11" s="1" customFormat="1" ht="30" customHeight="1" x14ac:dyDescent="0.3">
      <c r="A3" s="96" t="s">
        <v>95</v>
      </c>
      <c r="B3" s="97"/>
      <c r="C3" s="24"/>
      <c r="D3" s="100"/>
      <c r="E3" s="100"/>
      <c r="F3" s="100"/>
      <c r="G3" s="100"/>
      <c r="H3" s="17" t="s">
        <v>4</v>
      </c>
      <c r="I3" s="99"/>
      <c r="J3" s="99"/>
      <c r="K3" s="5"/>
    </row>
    <row r="4" spans="1:11" s="1" customFormat="1" ht="30" customHeight="1" x14ac:dyDescent="0.3">
      <c r="A4" s="96" t="s">
        <v>19</v>
      </c>
      <c r="B4" s="97"/>
      <c r="C4" s="100"/>
      <c r="D4" s="100"/>
      <c r="E4" s="100"/>
      <c r="F4" s="100"/>
      <c r="G4" s="100"/>
      <c r="H4" s="17" t="s">
        <v>5</v>
      </c>
      <c r="I4" s="98"/>
      <c r="J4" s="98"/>
      <c r="K4" s="5"/>
    </row>
    <row r="5" spans="1:11" s="1" customFormat="1" ht="30" customHeight="1" x14ac:dyDescent="0.3">
      <c r="A5" s="96" t="s">
        <v>123</v>
      </c>
      <c r="B5" s="97"/>
      <c r="C5" s="25"/>
      <c r="D5" s="101" t="s">
        <v>80</v>
      </c>
      <c r="E5" s="101"/>
      <c r="F5" s="102"/>
      <c r="G5" s="102"/>
      <c r="H5" s="17" t="s">
        <v>6</v>
      </c>
      <c r="I5" s="103"/>
      <c r="J5" s="99"/>
      <c r="K5" s="5"/>
    </row>
    <row r="6" spans="1:11" s="1" customFormat="1" ht="30" customHeight="1" x14ac:dyDescent="0.3">
      <c r="A6" s="96" t="s">
        <v>20</v>
      </c>
      <c r="B6" s="97"/>
      <c r="C6" s="26"/>
      <c r="D6" s="26"/>
      <c r="E6" s="6" t="str">
        <f>IF(D6-C6=0,"&lt;-- Need Dates",D6-C6)</f>
        <v>&lt;-- Need Dates</v>
      </c>
      <c r="F6" s="110" t="str">
        <f>IF(AND(C5&lt;249999.9999,E6&lt;5),"Not Posted Correct # of Days",IF(AND(C5&gt;249999.99,E6&lt;15),"Not Posted Correct # of Days","OK"))</f>
        <v>OK</v>
      </c>
      <c r="G6" s="111"/>
      <c r="H6" s="17" t="s">
        <v>7</v>
      </c>
      <c r="I6" s="98"/>
      <c r="J6" s="98"/>
      <c r="K6" s="5"/>
    </row>
    <row r="7" spans="1:11" s="1" customFormat="1" ht="46.5" customHeight="1" x14ac:dyDescent="0.3">
      <c r="A7" s="96" t="s">
        <v>83</v>
      </c>
      <c r="B7" s="97"/>
      <c r="C7" s="109"/>
      <c r="D7" s="109"/>
      <c r="E7" s="15" t="str">
        <f>IF(C7-D6&lt;1,"Need Contract  / PO Date",C7-D6)</f>
        <v>Need Contract  / PO Date</v>
      </c>
      <c r="F7" s="110" t="str">
        <f>IF(E7&lt;1,"Not Issued Within One Day of NOA","OK")</f>
        <v>OK</v>
      </c>
      <c r="G7" s="112"/>
      <c r="H7" s="17" t="s">
        <v>17</v>
      </c>
      <c r="I7" s="99"/>
      <c r="J7" s="99"/>
      <c r="K7" s="5"/>
    </row>
    <row r="8" spans="1:11" s="1" customFormat="1" ht="23.25" customHeight="1" x14ac:dyDescent="0.3">
      <c r="A8" s="96" t="s">
        <v>84</v>
      </c>
      <c r="B8" s="97"/>
      <c r="C8" s="32"/>
      <c r="D8" s="133"/>
      <c r="E8" s="134"/>
      <c r="F8" s="129" t="s">
        <v>117</v>
      </c>
      <c r="G8" s="130"/>
      <c r="H8" s="120"/>
      <c r="I8" s="121"/>
      <c r="J8" s="122"/>
      <c r="K8" s="5"/>
    </row>
    <row r="9" spans="1:11" s="1" customFormat="1" ht="24" customHeight="1" x14ac:dyDescent="0.3">
      <c r="A9" s="96" t="s">
        <v>82</v>
      </c>
      <c r="B9" s="97"/>
      <c r="C9" s="100"/>
      <c r="D9" s="100"/>
      <c r="E9" s="100"/>
      <c r="F9" s="131"/>
      <c r="G9" s="132"/>
      <c r="H9" s="123"/>
      <c r="I9" s="124"/>
      <c r="J9" s="125"/>
      <c r="K9" s="5"/>
    </row>
    <row r="10" spans="1:11" s="1" customFormat="1" ht="21" customHeight="1" x14ac:dyDescent="0.3">
      <c r="A10" s="96" t="s">
        <v>87</v>
      </c>
      <c r="B10" s="97"/>
      <c r="C10" s="128" t="s">
        <v>116</v>
      </c>
      <c r="D10" s="128"/>
      <c r="E10" s="128"/>
      <c r="F10" s="102" t="s">
        <v>115</v>
      </c>
      <c r="G10" s="102"/>
      <c r="H10" s="126"/>
      <c r="I10" s="127"/>
      <c r="J10" s="127"/>
      <c r="K10" s="73"/>
    </row>
    <row r="11" spans="1:11" s="10" customFormat="1" x14ac:dyDescent="0.3">
      <c r="A11" s="9"/>
      <c r="G11" s="8"/>
      <c r="H11" s="74"/>
      <c r="I11" s="75"/>
      <c r="J11" s="75"/>
      <c r="K11" s="16"/>
    </row>
    <row r="12" spans="1:11" ht="18" x14ac:dyDescent="0.3">
      <c r="A12" s="107" t="s">
        <v>25</v>
      </c>
      <c r="B12" s="108"/>
      <c r="C12" s="108"/>
      <c r="D12" s="108"/>
      <c r="E12" s="108"/>
      <c r="F12" s="108"/>
      <c r="G12" s="108"/>
      <c r="H12" s="108"/>
      <c r="I12" s="108"/>
      <c r="J12" s="108"/>
    </row>
    <row r="13" spans="1:11" s="20" customFormat="1" ht="28.8" x14ac:dyDescent="0.3">
      <c r="A13" s="113" t="s">
        <v>29</v>
      </c>
      <c r="B13" s="114"/>
      <c r="C13" s="115"/>
      <c r="D13" s="19" t="s">
        <v>28</v>
      </c>
      <c r="E13" s="19" t="s">
        <v>30</v>
      </c>
      <c r="F13" s="104" t="s">
        <v>86</v>
      </c>
      <c r="G13" s="105"/>
      <c r="H13" s="104" t="s">
        <v>26</v>
      </c>
      <c r="I13" s="106"/>
      <c r="J13" s="105"/>
    </row>
    <row r="14" spans="1:11" x14ac:dyDescent="0.3">
      <c r="A14" s="90" t="s">
        <v>81</v>
      </c>
      <c r="B14" s="90"/>
      <c r="C14" s="4">
        <v>4</v>
      </c>
      <c r="D14" s="21">
        <f>COUNTIFS(reference,A14,gap,"Gap")</f>
        <v>0</v>
      </c>
      <c r="E14" s="21">
        <f>law_pts*D14</f>
        <v>0</v>
      </c>
      <c r="F14" s="30"/>
      <c r="G14" s="31">
        <v>0.59</v>
      </c>
      <c r="H14" s="33" t="s">
        <v>21</v>
      </c>
      <c r="I14" s="4">
        <f>SUMIF(scored,"Yes",max_score)</f>
        <v>44</v>
      </c>
      <c r="J14" s="135" t="str">
        <f>IF(I16&lt;=G14,"Unsatisfactory", IF(I16&lt;=G15,"Underperforming", IF(I16&lt;=G16,"Marginal",IF(I16&lt;=G17,"Acceptable", "Excellent"))))</f>
        <v>Unsatisfactory</v>
      </c>
    </row>
    <row r="15" spans="1:11" x14ac:dyDescent="0.3">
      <c r="A15" s="90" t="s">
        <v>88</v>
      </c>
      <c r="B15" s="90"/>
      <c r="C15" s="4">
        <v>2</v>
      </c>
      <c r="D15" s="21">
        <f>COUNTIFS(reference,A15,gap,"Gap")</f>
        <v>0</v>
      </c>
      <c r="E15" s="21">
        <f>gpm_pts*D15</f>
        <v>0</v>
      </c>
      <c r="F15" s="30">
        <v>0.6</v>
      </c>
      <c r="G15" s="31">
        <v>0.74</v>
      </c>
      <c r="H15" s="33" t="s">
        <v>23</v>
      </c>
      <c r="I15" s="4">
        <f>IF(not_started&gt;0,0,SUMIF(scored,"Yes",score))</f>
        <v>0</v>
      </c>
      <c r="J15" s="136"/>
    </row>
    <row r="16" spans="1:11" x14ac:dyDescent="0.3">
      <c r="A16" s="90" t="s">
        <v>10</v>
      </c>
      <c r="B16" s="90"/>
      <c r="C16" s="4">
        <v>1</v>
      </c>
      <c r="D16" s="21">
        <f>COUNTIFS(reference,A16,gap,"Gap")</f>
        <v>0</v>
      </c>
      <c r="E16" s="21">
        <f>trng_pts*D16</f>
        <v>0</v>
      </c>
      <c r="F16" s="30">
        <v>0.75</v>
      </c>
      <c r="G16" s="31">
        <v>0.84</v>
      </c>
      <c r="H16" s="33" t="s">
        <v>24</v>
      </c>
      <c r="I16" s="7">
        <f>ROUND(I15/I14,2)</f>
        <v>0</v>
      </c>
      <c r="J16" s="137"/>
    </row>
    <row r="17" spans="1:10" x14ac:dyDescent="0.3">
      <c r="A17" s="90" t="s">
        <v>13</v>
      </c>
      <c r="B17" s="90"/>
      <c r="C17" s="4">
        <v>1</v>
      </c>
      <c r="D17" s="21">
        <f>COUNTIFS(reference,A17,gap,"Gap")</f>
        <v>0</v>
      </c>
      <c r="E17" s="22">
        <f>optional*D17</f>
        <v>0</v>
      </c>
      <c r="F17" s="30">
        <v>0.85</v>
      </c>
      <c r="G17" s="31">
        <v>0.94</v>
      </c>
      <c r="H17" s="116" t="str">
        <f>IF(not_started&gt;0,"Actual Score and Ratings will not calculate unless all questions have been answered.","")</f>
        <v>Actual Score and Ratings will not calculate unless all questions have been answered.</v>
      </c>
      <c r="I17" s="117"/>
      <c r="J17" s="117"/>
    </row>
    <row r="18" spans="1:10" x14ac:dyDescent="0.3">
      <c r="D18" s="23">
        <f>SUM(D14:D17)</f>
        <v>0</v>
      </c>
      <c r="E18" s="23">
        <f>SUM(E14:E17)</f>
        <v>0</v>
      </c>
      <c r="F18" s="30">
        <v>0.95</v>
      </c>
      <c r="G18" s="31"/>
      <c r="H18" s="118"/>
      <c r="I18" s="119"/>
      <c r="J18" s="119"/>
    </row>
    <row r="19" spans="1:10" ht="15" thickBot="1" x14ac:dyDescent="0.35"/>
    <row r="20" spans="1:10" x14ac:dyDescent="0.3">
      <c r="D20" s="82" t="s">
        <v>114</v>
      </c>
      <c r="E20" s="83"/>
      <c r="F20" s="83"/>
      <c r="G20" s="83"/>
      <c r="H20" s="84"/>
    </row>
    <row r="21" spans="1:10" x14ac:dyDescent="0.3">
      <c r="D21" s="85" t="s">
        <v>86</v>
      </c>
      <c r="E21" s="86"/>
      <c r="F21" s="87" t="s">
        <v>24</v>
      </c>
      <c r="G21" s="87"/>
      <c r="H21" s="62" t="s">
        <v>96</v>
      </c>
    </row>
    <row r="22" spans="1:10" x14ac:dyDescent="0.3">
      <c r="D22" s="63" t="s">
        <v>97</v>
      </c>
      <c r="E22" s="64"/>
      <c r="F22" s="78" t="s">
        <v>98</v>
      </c>
      <c r="G22" s="79"/>
      <c r="H22" s="65" t="s">
        <v>118</v>
      </c>
    </row>
    <row r="23" spans="1:10" x14ac:dyDescent="0.3">
      <c r="D23" s="66" t="s">
        <v>100</v>
      </c>
      <c r="E23" s="67" t="s">
        <v>101</v>
      </c>
      <c r="F23" s="88" t="s">
        <v>102</v>
      </c>
      <c r="G23" s="89"/>
      <c r="H23" s="68" t="s">
        <v>99</v>
      </c>
    </row>
    <row r="24" spans="1:10" x14ac:dyDescent="0.3">
      <c r="D24" s="63" t="s">
        <v>103</v>
      </c>
      <c r="E24" s="64" t="s">
        <v>104</v>
      </c>
      <c r="F24" s="78" t="s">
        <v>105</v>
      </c>
      <c r="G24" s="79"/>
      <c r="H24" s="65" t="s">
        <v>106</v>
      </c>
    </row>
    <row r="25" spans="1:10" x14ac:dyDescent="0.3">
      <c r="D25" s="63" t="s">
        <v>107</v>
      </c>
      <c r="E25" s="64" t="s">
        <v>108</v>
      </c>
      <c r="F25" s="78" t="s">
        <v>109</v>
      </c>
      <c r="G25" s="79"/>
      <c r="H25" s="65" t="s">
        <v>110</v>
      </c>
    </row>
    <row r="26" spans="1:10" ht="15" thickBot="1" x14ac:dyDescent="0.35">
      <c r="D26" s="69"/>
      <c r="E26" s="70" t="s">
        <v>111</v>
      </c>
      <c r="F26" s="80" t="s">
        <v>112</v>
      </c>
      <c r="G26" s="81"/>
      <c r="H26" s="71" t="s">
        <v>113</v>
      </c>
    </row>
  </sheetData>
  <sheetProtection algorithmName="SHA-512" hashValue="nF+I4BR1ciWyvnB5XqJ0V+MA3emF852ceyl/FxQyH1GgCfoAoQQjz0Il6MoJEG8zhpt7W1skLHx1YqmNJ9V6kg==" saltValue="JunFAlxRn200sCd9UUgZUA==" spinCount="100000" sheet="1" selectLockedCells="1" autoFilter="0" pivotTables="0"/>
  <mergeCells count="48">
    <mergeCell ref="A13:C13"/>
    <mergeCell ref="A10:B10"/>
    <mergeCell ref="H17:J18"/>
    <mergeCell ref="A16:B16"/>
    <mergeCell ref="I6:J6"/>
    <mergeCell ref="A9:B9"/>
    <mergeCell ref="H8:J9"/>
    <mergeCell ref="H10:J10"/>
    <mergeCell ref="A8:B8"/>
    <mergeCell ref="C10:E10"/>
    <mergeCell ref="C9:E9"/>
    <mergeCell ref="F8:G9"/>
    <mergeCell ref="F10:G10"/>
    <mergeCell ref="D8:E8"/>
    <mergeCell ref="A17:B17"/>
    <mergeCell ref="J14:J16"/>
    <mergeCell ref="A12:J12"/>
    <mergeCell ref="A7:B7"/>
    <mergeCell ref="I7:J7"/>
    <mergeCell ref="C7:D7"/>
    <mergeCell ref="C4:D4"/>
    <mergeCell ref="E4:G4"/>
    <mergeCell ref="F6:G6"/>
    <mergeCell ref="F7:G7"/>
    <mergeCell ref="A14:B14"/>
    <mergeCell ref="A15:B15"/>
    <mergeCell ref="A1:J1"/>
    <mergeCell ref="A2:J2"/>
    <mergeCell ref="A4:B4"/>
    <mergeCell ref="I4:J4"/>
    <mergeCell ref="A3:B3"/>
    <mergeCell ref="I3:J3"/>
    <mergeCell ref="D3:G3"/>
    <mergeCell ref="D5:E5"/>
    <mergeCell ref="F5:G5"/>
    <mergeCell ref="A5:B5"/>
    <mergeCell ref="I5:J5"/>
    <mergeCell ref="A6:B6"/>
    <mergeCell ref="F13:G13"/>
    <mergeCell ref="H13:J13"/>
    <mergeCell ref="F24:G24"/>
    <mergeCell ref="F25:G25"/>
    <mergeCell ref="F26:G26"/>
    <mergeCell ref="D20:H20"/>
    <mergeCell ref="D21:E21"/>
    <mergeCell ref="F21:G21"/>
    <mergeCell ref="F22:G22"/>
    <mergeCell ref="F23:G23"/>
  </mergeCells>
  <conditionalFormatting sqref="I6:J6">
    <cfRule type="cellIs" dxfId="11" priority="14" operator="equal">
      <formula>"NO-Buyer is NOT GCPA Certified"</formula>
    </cfRule>
  </conditionalFormatting>
  <conditionalFormatting sqref="F10">
    <cfRule type="cellIs" dxfId="10" priority="21" operator="equal">
      <formula>"Type of solicitation not selected"</formula>
    </cfRule>
  </conditionalFormatting>
  <conditionalFormatting sqref="E6">
    <cfRule type="cellIs" dxfId="9" priority="17" operator="equal">
      <formula>"&lt;-- Need Dates"</formula>
    </cfRule>
  </conditionalFormatting>
  <conditionalFormatting sqref="G11">
    <cfRule type="cellIs" dxfId="8" priority="8" stopIfTrue="1" operator="equal">
      <formula>"Low Risk"</formula>
    </cfRule>
    <cfRule type="cellIs" dxfId="7" priority="9" stopIfTrue="1" operator="equal">
      <formula>"Medium Risk"</formula>
    </cfRule>
    <cfRule type="cellIs" dxfId="6" priority="11" stopIfTrue="1" operator="equal">
      <formula>"High Risk"</formula>
    </cfRule>
  </conditionalFormatting>
  <conditionalFormatting sqref="F7">
    <cfRule type="cellIs" dxfId="5" priority="7" operator="notEqual">
      <formula>"OK"</formula>
    </cfRule>
  </conditionalFormatting>
  <conditionalFormatting sqref="J14:J16">
    <cfRule type="cellIs" dxfId="4" priority="2" operator="equal">
      <formula>"Excellent"</formula>
    </cfRule>
    <cfRule type="cellIs" dxfId="3" priority="3" operator="equal">
      <formula>"Acceptable"</formula>
    </cfRule>
    <cfRule type="cellIs" dxfId="2" priority="4" operator="equal">
      <formula>"Marginal"</formula>
    </cfRule>
    <cfRule type="cellIs" dxfId="1" priority="5" operator="equal">
      <formula>"Underperforming"</formula>
    </cfRule>
    <cfRule type="cellIs" dxfId="0" priority="6" operator="equal">
      <formula>"Unsatisfactory"</formula>
    </cfRule>
  </conditionalFormatting>
  <dataValidations count="3">
    <dataValidation type="list" allowBlank="1" showInputMessage="1" showErrorMessage="1" sqref="I6:J6">
      <formula1>"Is Buyer Certified? Select One., Yes - GCPA, Yes - GCPM, No - Buyer Not Certified"</formula1>
    </dataValidation>
    <dataValidation type="list" allowBlank="1" showInputMessage="1" showErrorMessage="1" errorTitle="Input Error" error="The value you entered is not valid for this cell.  Please select from the drop-down box." prompt="This cell determines the complexity of the solicitation." sqref="F10">
      <formula1>"Select the TYPE of Solicitation, Non-Complex Goods, Non-Complex Services, Non-Complex IT, Complex Goods, Complex Services, Complex IT, Combination Goods / Services / IT"</formula1>
    </dataValidation>
    <dataValidation type="list" errorStyle="warning" allowBlank="1" showErrorMessage="1" errorTitle="Input Error" error="The value you entered is not valid for this cell.  Please try again." promptTitle="Compliance Level" prompt="Select value from the dropdown list." sqref="C10:E10">
      <formula1>" Was there a protest? Select One. ,No, YES - Frivolous, YES - Denied, YES - RFP Cancelled, YES - Other, YES - Sustained"</formula1>
    </dataValidation>
  </dataValidations>
  <pageMargins left="0.45" right="0.45" top="0.75" bottom="0.75" header="0.3" footer="0.3"/>
  <pageSetup scale="94" orientation="landscape" r:id="rId1"/>
  <headerFooter>
    <oddFooter>&amp;LCopyright © 2010 – DOAS State Purchasing Division&amp;CRevised 09/01/16&amp;RPage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-0.249977111117893"/>
    <pageSetUpPr fitToPage="1"/>
  </sheetPr>
  <dimension ref="A1:Q61"/>
  <sheetViews>
    <sheetView zoomScale="90" zoomScaleNormal="90" workbookViewId="0">
      <pane ySplit="2" topLeftCell="A3" activePane="bottomLeft" state="frozen"/>
      <selection pane="bottomLeft" activeCell="E4" sqref="E4"/>
    </sheetView>
  </sheetViews>
  <sheetFormatPr defaultColWidth="0" defaultRowHeight="14.4" x14ac:dyDescent="0.3"/>
  <cols>
    <col min="1" max="1" width="7.44140625" style="53" customWidth="1"/>
    <col min="2" max="2" width="62" style="5" customWidth="1"/>
    <col min="3" max="3" width="15.44140625" style="5" customWidth="1"/>
    <col min="4" max="4" width="15.33203125" style="5" customWidth="1"/>
    <col min="5" max="5" width="16.109375" style="34" customWidth="1"/>
    <col min="6" max="7" width="10.33203125" style="1" customWidth="1"/>
    <col min="8" max="8" width="46" style="5" customWidth="1"/>
    <col min="9" max="9" width="2.33203125" style="1" customWidth="1"/>
    <col min="10" max="10" width="8.88671875" style="47" hidden="1" customWidth="1"/>
    <col min="11" max="11" width="10.33203125" style="47" hidden="1" customWidth="1"/>
    <col min="12" max="12" width="10.33203125" style="1" hidden="1" customWidth="1"/>
    <col min="13" max="15" width="15.33203125" style="34" hidden="1" customWidth="1"/>
    <col min="16" max="17" width="0" style="1" hidden="1" customWidth="1"/>
    <col min="18" max="16384" width="10.33203125" style="1" hidden="1"/>
  </cols>
  <sheetData>
    <row r="1" spans="1:17" s="55" customFormat="1" ht="23.4" x14ac:dyDescent="0.45">
      <c r="A1" s="143" t="s">
        <v>94</v>
      </c>
      <c r="B1" s="144"/>
      <c r="C1" s="144"/>
      <c r="D1" s="144"/>
      <c r="E1" s="144"/>
      <c r="F1" s="144"/>
      <c r="G1" s="144"/>
      <c r="H1" s="145"/>
      <c r="I1" s="54"/>
      <c r="K1" s="56"/>
      <c r="M1" s="57"/>
      <c r="N1" s="57"/>
      <c r="O1" s="57"/>
    </row>
    <row r="2" spans="1:17" s="61" customFormat="1" ht="36" x14ac:dyDescent="0.35">
      <c r="A2" s="141" t="s">
        <v>0</v>
      </c>
      <c r="B2" s="142"/>
      <c r="C2" s="76" t="s">
        <v>15</v>
      </c>
      <c r="D2" s="76" t="s">
        <v>8</v>
      </c>
      <c r="E2" s="76" t="s">
        <v>1</v>
      </c>
      <c r="F2" s="76" t="s">
        <v>9</v>
      </c>
      <c r="G2" s="76" t="s">
        <v>21</v>
      </c>
      <c r="H2" s="77" t="s">
        <v>2</v>
      </c>
      <c r="I2" s="54"/>
      <c r="J2" s="58" t="s">
        <v>22</v>
      </c>
      <c r="K2" s="58" t="s">
        <v>27</v>
      </c>
      <c r="L2" s="58" t="s">
        <v>30</v>
      </c>
      <c r="M2" s="59" t="s">
        <v>92</v>
      </c>
      <c r="N2" s="60"/>
      <c r="O2" s="60"/>
    </row>
    <row r="3" spans="1:17" s="3" customFormat="1" ht="18.75" customHeight="1" x14ac:dyDescent="0.3">
      <c r="A3" s="138" t="s">
        <v>93</v>
      </c>
      <c r="B3" s="139"/>
      <c r="C3" s="139"/>
      <c r="D3" s="139"/>
      <c r="E3" s="139"/>
      <c r="F3" s="139"/>
      <c r="G3" s="139"/>
      <c r="H3" s="140"/>
      <c r="I3" s="72"/>
      <c r="J3" s="36"/>
      <c r="K3" s="36"/>
      <c r="L3" s="36"/>
      <c r="M3" s="37"/>
      <c r="N3" s="34"/>
      <c r="O3" s="34"/>
    </row>
    <row r="4" spans="1:17" s="5" customFormat="1" ht="39" customHeight="1" x14ac:dyDescent="0.3">
      <c r="A4" s="48" t="s">
        <v>31</v>
      </c>
      <c r="B4" s="27" t="s">
        <v>47</v>
      </c>
      <c r="C4" s="38" t="s">
        <v>88</v>
      </c>
      <c r="D4" s="39" t="s">
        <v>72</v>
      </c>
      <c r="E4" s="40"/>
      <c r="F4" s="38" t="str">
        <f>IF(E4="","",IF(E4="No",0,IF(E4="Needs Improvement", G4-1,G4)))</f>
        <v/>
      </c>
      <c r="G4" s="34">
        <f>IF(E4="N/A",0,IF(C4="Legal Issue", law_pts, IF(C4="Administrative Rules", gpm_pts, trng_pts)))</f>
        <v>2</v>
      </c>
      <c r="H4" s="29"/>
      <c r="J4" s="41" t="s">
        <v>18</v>
      </c>
      <c r="K4" s="34" t="str">
        <f>IF(OR(E4="", E4="N/A", E4="Yes"),"","Gap")</f>
        <v/>
      </c>
      <c r="L4" s="34">
        <f>IF(E4="",0,G4-F4)</f>
        <v>0</v>
      </c>
      <c r="M4" s="34" t="str">
        <f>IF(ISBLANK(E4)=TRUE,"Not Started","Answered")</f>
        <v>Not Started</v>
      </c>
      <c r="N4" s="34"/>
      <c r="O4" s="34"/>
      <c r="P4" s="5" t="s">
        <v>89</v>
      </c>
      <c r="Q4" s="5">
        <f>COUNTIF(answer_status,"Not Started")</f>
        <v>21</v>
      </c>
    </row>
    <row r="5" spans="1:17" s="5" customFormat="1" ht="115.2" x14ac:dyDescent="0.3">
      <c r="A5" s="49" t="s">
        <v>32</v>
      </c>
      <c r="B5" s="11" t="s">
        <v>48</v>
      </c>
      <c r="C5" s="38" t="s">
        <v>88</v>
      </c>
      <c r="D5" s="42" t="s">
        <v>72</v>
      </c>
      <c r="E5" s="43"/>
      <c r="F5" s="38" t="str">
        <f t="shared" ref="F5:F7" si="0">IF(E5="","",IF(E5="No",0,IF(E5="Needs Improvement", G5-1,G5)))</f>
        <v/>
      </c>
      <c r="G5" s="34">
        <f>IF(E5="N/A",0,IF(C5="Legal Issue", law_pts, IF(C5="Administrative Rules", gpm_pts, trng_pts)))</f>
        <v>2</v>
      </c>
      <c r="H5" s="28"/>
      <c r="J5" s="41" t="s">
        <v>18</v>
      </c>
      <c r="K5" s="34" t="str">
        <f t="shared" ref="K5:K7" si="1">IF(OR(E5="", E5="N/A", E5="Yes"),"","Gap")</f>
        <v/>
      </c>
      <c r="L5" s="34">
        <f t="shared" ref="L5:L7" si="2">IF(E5="",0,G5-F5)</f>
        <v>0</v>
      </c>
      <c r="M5" s="34" t="str">
        <f t="shared" ref="M5:M7" si="3">IF(ISBLANK(E5)=TRUE,"Not Started","Answered")</f>
        <v>Not Started</v>
      </c>
      <c r="N5" s="34"/>
      <c r="O5" s="34"/>
      <c r="P5" s="5" t="s">
        <v>90</v>
      </c>
      <c r="Q5" s="5">
        <f>COUNTIF(answer_status,"Answered")</f>
        <v>1</v>
      </c>
    </row>
    <row r="6" spans="1:17" s="5" customFormat="1" ht="201.6" x14ac:dyDescent="0.3">
      <c r="A6" s="49" t="s">
        <v>33</v>
      </c>
      <c r="B6" s="11" t="s">
        <v>73</v>
      </c>
      <c r="C6" s="38" t="s">
        <v>88</v>
      </c>
      <c r="D6" s="42" t="s">
        <v>72</v>
      </c>
      <c r="E6" s="43"/>
      <c r="F6" s="38" t="str">
        <f t="shared" si="0"/>
        <v/>
      </c>
      <c r="G6" s="34">
        <f>IF(E6="N/A",0,IF(C6="Legal Issue", law_pts, IF(C6="Administrative Rules", gpm_pts, trng_pts)))</f>
        <v>2</v>
      </c>
      <c r="H6" s="28"/>
      <c r="J6" s="41" t="s">
        <v>18</v>
      </c>
      <c r="K6" s="34" t="str">
        <f t="shared" si="1"/>
        <v/>
      </c>
      <c r="L6" s="34">
        <f t="shared" si="2"/>
        <v>0</v>
      </c>
      <c r="M6" s="34" t="str">
        <f t="shared" si="3"/>
        <v>Not Started</v>
      </c>
      <c r="N6" s="35"/>
      <c r="O6" s="35"/>
      <c r="P6" s="5" t="s">
        <v>91</v>
      </c>
      <c r="Q6" s="5">
        <f>SUM(Q4:Q5)</f>
        <v>22</v>
      </c>
    </row>
    <row r="7" spans="1:17" s="5" customFormat="1" ht="31.2" x14ac:dyDescent="0.3">
      <c r="A7" s="50" t="s">
        <v>34</v>
      </c>
      <c r="B7" s="11" t="s">
        <v>71</v>
      </c>
      <c r="C7" s="38" t="s">
        <v>88</v>
      </c>
      <c r="D7" s="42" t="s">
        <v>72</v>
      </c>
      <c r="E7" s="43"/>
      <c r="F7" s="38" t="str">
        <f t="shared" si="0"/>
        <v/>
      </c>
      <c r="G7" s="34">
        <f>IF(E7="N/A",0,IF(C7="Legal Issue", law_pts, IF(C7="Administrative Rules", gpm_pts, trng_pts)))</f>
        <v>2</v>
      </c>
      <c r="H7" s="28"/>
      <c r="J7" s="41" t="s">
        <v>18</v>
      </c>
      <c r="K7" s="34" t="str">
        <f t="shared" si="1"/>
        <v/>
      </c>
      <c r="L7" s="34">
        <f t="shared" si="2"/>
        <v>0</v>
      </c>
      <c r="M7" s="34" t="str">
        <f t="shared" si="3"/>
        <v>Not Started</v>
      </c>
      <c r="N7" s="34"/>
      <c r="O7" s="34"/>
    </row>
    <row r="8" spans="1:17" s="5" customFormat="1" ht="31.2" x14ac:dyDescent="0.3">
      <c r="A8" s="49" t="s">
        <v>35</v>
      </c>
      <c r="B8" s="44" t="s">
        <v>49</v>
      </c>
      <c r="C8" s="146" t="s">
        <v>74</v>
      </c>
      <c r="D8" s="147"/>
      <c r="E8" s="45"/>
      <c r="F8" s="45"/>
      <c r="G8" s="45"/>
      <c r="H8" s="45"/>
      <c r="J8" s="45"/>
      <c r="K8" s="45"/>
      <c r="L8" s="45"/>
      <c r="M8" s="45"/>
      <c r="N8" s="34"/>
      <c r="O8" s="34"/>
    </row>
    <row r="9" spans="1:17" s="5" customFormat="1" ht="31.2" x14ac:dyDescent="0.3">
      <c r="A9" s="51" t="s">
        <v>56</v>
      </c>
      <c r="B9" s="11" t="s">
        <v>50</v>
      </c>
      <c r="C9" s="34" t="s">
        <v>88</v>
      </c>
      <c r="D9" s="42" t="s">
        <v>72</v>
      </c>
      <c r="E9" s="43"/>
      <c r="F9" s="38" t="str">
        <f t="shared" ref="F9:F15" si="4">IF(E9="","",IF(E9="No",0,IF(E9="Needs Improvement", G9-1,G9)))</f>
        <v/>
      </c>
      <c r="G9" s="34">
        <f t="shared" ref="G9:G21" si="5">IF(E9="N/A",0,IF(C9="Legal Issue", law_pts, IF(C9="Administrative Rules", gpm_pts, trng_pts)))</f>
        <v>2</v>
      </c>
      <c r="H9" s="28"/>
      <c r="J9" s="41" t="s">
        <v>18</v>
      </c>
      <c r="K9" s="34" t="str">
        <f>IF(OR(E9="", E9="N/A", E9="Yes"),"","Gap")</f>
        <v/>
      </c>
      <c r="L9" s="34">
        <f>IF(E9="",0,G9-F9)</f>
        <v>0</v>
      </c>
      <c r="M9" s="34" t="str">
        <f>IF(ISBLANK(E9)=TRUE,"Not Started","Answered")</f>
        <v>Not Started</v>
      </c>
      <c r="N9" s="34"/>
      <c r="O9" s="34"/>
    </row>
    <row r="10" spans="1:17" s="5" customFormat="1" ht="28.8" x14ac:dyDescent="0.3">
      <c r="A10" s="51" t="s">
        <v>57</v>
      </c>
      <c r="B10" s="11" t="s">
        <v>51</v>
      </c>
      <c r="C10" s="34" t="s">
        <v>88</v>
      </c>
      <c r="D10" s="42" t="s">
        <v>72</v>
      </c>
      <c r="E10" s="43"/>
      <c r="F10" s="38" t="str">
        <f t="shared" si="4"/>
        <v/>
      </c>
      <c r="G10" s="34">
        <f t="shared" si="5"/>
        <v>2</v>
      </c>
      <c r="H10" s="28"/>
      <c r="J10" s="41" t="s">
        <v>18</v>
      </c>
      <c r="K10" s="34" t="str">
        <f t="shared" ref="K10:K12" si="6">IF(OR(E10="", E10="N/A", E10="Yes"),"","Gap")</f>
        <v/>
      </c>
      <c r="L10" s="34">
        <f t="shared" ref="L10:L12" si="7">IF(E10="",0,G10-F10)</f>
        <v>0</v>
      </c>
      <c r="M10" s="34" t="str">
        <f t="shared" ref="M10:M12" si="8">IF(ISBLANK(E10)=TRUE,"Not Started","Answered")</f>
        <v>Not Started</v>
      </c>
      <c r="N10" s="34"/>
      <c r="O10" s="34"/>
    </row>
    <row r="11" spans="1:17" s="5" customFormat="1" ht="28.8" x14ac:dyDescent="0.3">
      <c r="A11" s="51" t="s">
        <v>58</v>
      </c>
      <c r="B11" s="11" t="s">
        <v>67</v>
      </c>
      <c r="C11" s="34" t="s">
        <v>88</v>
      </c>
      <c r="D11" s="42" t="s">
        <v>72</v>
      </c>
      <c r="E11" s="43"/>
      <c r="F11" s="38" t="str">
        <f t="shared" si="4"/>
        <v/>
      </c>
      <c r="G11" s="34">
        <f t="shared" si="5"/>
        <v>2</v>
      </c>
      <c r="H11" s="28"/>
      <c r="J11" s="41" t="s">
        <v>18</v>
      </c>
      <c r="K11" s="34" t="str">
        <f t="shared" si="6"/>
        <v/>
      </c>
      <c r="L11" s="34">
        <f t="shared" si="7"/>
        <v>0</v>
      </c>
      <c r="M11" s="34" t="str">
        <f t="shared" si="8"/>
        <v>Not Started</v>
      </c>
      <c r="N11" s="34"/>
      <c r="O11" s="34"/>
    </row>
    <row r="12" spans="1:17" s="5" customFormat="1" ht="31.2" x14ac:dyDescent="0.3">
      <c r="A12" s="52" t="s">
        <v>59</v>
      </c>
      <c r="B12" s="11" t="s">
        <v>68</v>
      </c>
      <c r="C12" s="34" t="s">
        <v>88</v>
      </c>
      <c r="D12" s="42" t="s">
        <v>72</v>
      </c>
      <c r="E12" s="43"/>
      <c r="F12" s="38" t="str">
        <f t="shared" si="4"/>
        <v/>
      </c>
      <c r="G12" s="34">
        <f t="shared" si="5"/>
        <v>2</v>
      </c>
      <c r="H12" s="28"/>
      <c r="J12" s="41" t="s">
        <v>18</v>
      </c>
      <c r="K12" s="34" t="str">
        <f t="shared" si="6"/>
        <v/>
      </c>
      <c r="L12" s="34">
        <f t="shared" si="7"/>
        <v>0</v>
      </c>
      <c r="M12" s="34" t="str">
        <f t="shared" si="8"/>
        <v>Not Started</v>
      </c>
      <c r="N12" s="34"/>
      <c r="O12" s="34"/>
    </row>
    <row r="13" spans="1:17" s="5" customFormat="1" ht="31.2" x14ac:dyDescent="0.3">
      <c r="A13" s="51" t="s">
        <v>60</v>
      </c>
      <c r="B13" s="11" t="s">
        <v>52</v>
      </c>
      <c r="C13" s="34" t="s">
        <v>88</v>
      </c>
      <c r="D13" s="42" t="s">
        <v>72</v>
      </c>
      <c r="E13" s="43"/>
      <c r="F13" s="38" t="str">
        <f t="shared" si="4"/>
        <v/>
      </c>
      <c r="G13" s="34">
        <f t="shared" si="5"/>
        <v>2</v>
      </c>
      <c r="H13" s="28"/>
      <c r="J13" s="41" t="s">
        <v>18</v>
      </c>
      <c r="K13" s="34" t="str">
        <f>IF(OR(E13="", E13="N/A", E13="Yes"),"","Gap")</f>
        <v/>
      </c>
      <c r="L13" s="34">
        <f>IF(E13="",0,G13-F13)</f>
        <v>0</v>
      </c>
      <c r="M13" s="34" t="str">
        <f>IF(ISBLANK(E13)=TRUE,"Not Started","Answered")</f>
        <v>Not Started</v>
      </c>
      <c r="N13" s="34"/>
      <c r="O13" s="34"/>
    </row>
    <row r="14" spans="1:17" s="5" customFormat="1" ht="43.2" x14ac:dyDescent="0.3">
      <c r="A14" s="51" t="s">
        <v>61</v>
      </c>
      <c r="B14" s="11" t="s">
        <v>53</v>
      </c>
      <c r="C14" s="34" t="s">
        <v>88</v>
      </c>
      <c r="D14" s="42" t="s">
        <v>75</v>
      </c>
      <c r="E14" s="43"/>
      <c r="F14" s="38" t="str">
        <f t="shared" si="4"/>
        <v/>
      </c>
      <c r="G14" s="34">
        <f t="shared" si="5"/>
        <v>2</v>
      </c>
      <c r="H14" s="28"/>
      <c r="J14" s="41" t="s">
        <v>18</v>
      </c>
      <c r="K14" s="34" t="str">
        <f t="shared" ref="K14:K16" si="9">IF(OR(E14="", E14="N/A", E14="Yes"),"","Gap")</f>
        <v/>
      </c>
      <c r="L14" s="34">
        <f t="shared" ref="L14:L16" si="10">IF(E14="",0,G14-F14)</f>
        <v>0</v>
      </c>
      <c r="M14" s="34" t="str">
        <f t="shared" ref="M14:M16" si="11">IF(ISBLANK(E14)=TRUE,"Not Started","Answered")</f>
        <v>Not Started</v>
      </c>
      <c r="N14" s="34"/>
      <c r="O14" s="34"/>
    </row>
    <row r="15" spans="1:17" s="5" customFormat="1" ht="31.2" x14ac:dyDescent="0.3">
      <c r="A15" s="51" t="s">
        <v>62</v>
      </c>
      <c r="B15" s="11" t="s">
        <v>54</v>
      </c>
      <c r="C15" s="34" t="s">
        <v>88</v>
      </c>
      <c r="D15" s="42" t="s">
        <v>72</v>
      </c>
      <c r="E15" s="43"/>
      <c r="F15" s="38" t="str">
        <f t="shared" si="4"/>
        <v/>
      </c>
      <c r="G15" s="34">
        <f t="shared" si="5"/>
        <v>2</v>
      </c>
      <c r="H15" s="28"/>
      <c r="J15" s="41" t="s">
        <v>18</v>
      </c>
      <c r="K15" s="34" t="str">
        <f t="shared" si="9"/>
        <v/>
      </c>
      <c r="L15" s="34">
        <f t="shared" si="10"/>
        <v>0</v>
      </c>
      <c r="M15" s="34" t="str">
        <f t="shared" si="11"/>
        <v>Not Started</v>
      </c>
    </row>
    <row r="16" spans="1:17" s="5" customFormat="1" ht="46.8" x14ac:dyDescent="0.3">
      <c r="A16" s="49" t="s">
        <v>3</v>
      </c>
      <c r="B16" s="12" t="s">
        <v>78</v>
      </c>
      <c r="C16" s="34" t="s">
        <v>88</v>
      </c>
      <c r="D16" s="42" t="s">
        <v>72</v>
      </c>
      <c r="E16" s="43"/>
      <c r="F16" s="38" t="str">
        <f>IF(E16="","",IF(E16="No",0,IF(E16="Needs Improvement", G16-1,G16)))</f>
        <v/>
      </c>
      <c r="G16" s="34">
        <f t="shared" si="5"/>
        <v>2</v>
      </c>
      <c r="H16" s="28"/>
      <c r="J16" s="41" t="s">
        <v>18</v>
      </c>
      <c r="K16" s="34" t="str">
        <f t="shared" si="9"/>
        <v/>
      </c>
      <c r="L16" s="34">
        <f t="shared" si="10"/>
        <v>0</v>
      </c>
      <c r="M16" s="34" t="str">
        <f t="shared" si="11"/>
        <v>Not Started</v>
      </c>
      <c r="N16" s="34"/>
      <c r="O16" s="34"/>
    </row>
    <row r="17" spans="1:15" s="5" customFormat="1" ht="31.2" x14ac:dyDescent="0.3">
      <c r="A17" s="49" t="s">
        <v>36</v>
      </c>
      <c r="B17" s="12" t="s">
        <v>76</v>
      </c>
      <c r="C17" s="34" t="s">
        <v>88</v>
      </c>
      <c r="D17" s="42" t="s">
        <v>72</v>
      </c>
      <c r="E17" s="46" t="str">
        <f>IF('Solicitation Information'!F6="OK", "Yes", "No")</f>
        <v>Yes</v>
      </c>
      <c r="F17" s="46">
        <f t="shared" ref="F17" si="12">IF(E17="","",IF(E17="No",0,G17))</f>
        <v>2</v>
      </c>
      <c r="G17" s="46">
        <f t="shared" si="5"/>
        <v>2</v>
      </c>
      <c r="H17" s="46"/>
      <c r="J17" s="41" t="s">
        <v>18</v>
      </c>
      <c r="K17" s="34" t="str">
        <f>IF(OR(E17="", E17="N/A", E17="Yes"),"","Gap")</f>
        <v/>
      </c>
      <c r="L17" s="34">
        <f>IF(E17="",0,G17-F17)</f>
        <v>0</v>
      </c>
      <c r="M17" s="34" t="str">
        <f>IF(ISBLANK(E17)=TRUE,"Not Started","Answered")</f>
        <v>Answered</v>
      </c>
      <c r="N17" s="34"/>
      <c r="O17" s="34"/>
    </row>
    <row r="18" spans="1:15" s="5" customFormat="1" ht="31.2" x14ac:dyDescent="0.3">
      <c r="A18" s="49" t="s">
        <v>37</v>
      </c>
      <c r="B18" s="12" t="s">
        <v>77</v>
      </c>
      <c r="C18" s="34" t="s">
        <v>88</v>
      </c>
      <c r="D18" s="42" t="s">
        <v>72</v>
      </c>
      <c r="E18" s="43"/>
      <c r="F18" s="38" t="str">
        <f t="shared" ref="F18:F21" si="13">IF(E18="","",IF(E18="No",0,IF(E18="Needs Improvement", G18-1,G18)))</f>
        <v/>
      </c>
      <c r="G18" s="34">
        <f t="shared" si="5"/>
        <v>2</v>
      </c>
      <c r="H18" s="28"/>
      <c r="J18" s="41" t="s">
        <v>18</v>
      </c>
      <c r="K18" s="34" t="str">
        <f t="shared" ref="K18:K21" si="14">IF(OR(E18="", E18="N/A", E18="Yes"),"","Gap")</f>
        <v/>
      </c>
      <c r="L18" s="34">
        <f t="shared" ref="L18:L21" si="15">IF(E18="",0,G18-F18)</f>
        <v>0</v>
      </c>
      <c r="M18" s="34" t="str">
        <f t="shared" ref="M18:M21" si="16">IF(ISBLANK(E18)=TRUE,"Not Started","Answered")</f>
        <v>Not Started</v>
      </c>
      <c r="N18" s="34"/>
      <c r="O18" s="34"/>
    </row>
    <row r="19" spans="1:15" s="5" customFormat="1" ht="31.2" x14ac:dyDescent="0.3">
      <c r="A19" s="50" t="s">
        <v>38</v>
      </c>
      <c r="B19" s="14" t="s">
        <v>119</v>
      </c>
      <c r="C19" s="34" t="s">
        <v>88</v>
      </c>
      <c r="D19" s="42" t="s">
        <v>14</v>
      </c>
      <c r="E19" s="43"/>
      <c r="F19" s="38" t="str">
        <f t="shared" si="13"/>
        <v/>
      </c>
      <c r="G19" s="34">
        <f>IF(E19="N/A",0,IF(C19="Legal Issue", law_pts, IF(C19="Administrative Rules", gpm_pts, trng_pts)))</f>
        <v>2</v>
      </c>
      <c r="H19" s="28"/>
      <c r="J19" s="41" t="s">
        <v>18</v>
      </c>
      <c r="K19" s="34" t="str">
        <f t="shared" si="14"/>
        <v/>
      </c>
      <c r="L19" s="34">
        <f t="shared" si="15"/>
        <v>0</v>
      </c>
      <c r="M19" s="34" t="str">
        <f t="shared" si="16"/>
        <v>Not Started</v>
      </c>
      <c r="N19" s="34"/>
      <c r="O19" s="34"/>
    </row>
    <row r="20" spans="1:15" s="5" customFormat="1" ht="31.2" x14ac:dyDescent="0.3">
      <c r="A20" s="49" t="s">
        <v>121</v>
      </c>
      <c r="B20" s="12" t="s">
        <v>69</v>
      </c>
      <c r="C20" s="34" t="s">
        <v>88</v>
      </c>
      <c r="D20" s="42" t="s">
        <v>72</v>
      </c>
      <c r="E20" s="43"/>
      <c r="F20" s="38" t="str">
        <f t="shared" si="13"/>
        <v/>
      </c>
      <c r="G20" s="34">
        <f t="shared" si="5"/>
        <v>2</v>
      </c>
      <c r="H20" s="28"/>
      <c r="J20" s="41" t="s">
        <v>18</v>
      </c>
      <c r="K20" s="34" t="str">
        <f t="shared" si="14"/>
        <v/>
      </c>
      <c r="L20" s="34">
        <f t="shared" si="15"/>
        <v>0</v>
      </c>
      <c r="M20" s="34" t="str">
        <f t="shared" si="16"/>
        <v>Not Started</v>
      </c>
      <c r="N20" s="34"/>
      <c r="O20" s="34"/>
    </row>
    <row r="21" spans="1:15" s="5" customFormat="1" ht="31.2" x14ac:dyDescent="0.3">
      <c r="A21" s="53">
        <v>11</v>
      </c>
      <c r="B21" s="12" t="s">
        <v>55</v>
      </c>
      <c r="C21" s="34" t="s">
        <v>88</v>
      </c>
      <c r="D21" s="42" t="s">
        <v>72</v>
      </c>
      <c r="E21" s="43"/>
      <c r="F21" s="38" t="str">
        <f t="shared" si="13"/>
        <v/>
      </c>
      <c r="G21" s="34">
        <f t="shared" si="5"/>
        <v>2</v>
      </c>
      <c r="H21" s="28"/>
      <c r="J21" s="41" t="s">
        <v>18</v>
      </c>
      <c r="K21" s="34" t="str">
        <f t="shared" si="14"/>
        <v/>
      </c>
      <c r="L21" s="34">
        <f t="shared" si="15"/>
        <v>0</v>
      </c>
      <c r="M21" s="34" t="str">
        <f t="shared" si="16"/>
        <v>Not Started</v>
      </c>
      <c r="N21" s="34"/>
      <c r="O21" s="34"/>
    </row>
    <row r="22" spans="1:15" s="5" customFormat="1" ht="18" x14ac:dyDescent="0.3">
      <c r="A22" s="138" t="s">
        <v>44</v>
      </c>
      <c r="B22" s="139"/>
      <c r="C22" s="139"/>
      <c r="D22" s="139"/>
      <c r="E22" s="139"/>
      <c r="F22" s="139"/>
      <c r="G22" s="139"/>
      <c r="H22" s="140"/>
      <c r="J22" s="46"/>
      <c r="K22" s="46"/>
      <c r="L22" s="46"/>
      <c r="M22" s="34"/>
      <c r="N22" s="34"/>
      <c r="O22" s="34"/>
    </row>
    <row r="23" spans="1:15" s="5" customFormat="1" ht="46.8" x14ac:dyDescent="0.3">
      <c r="A23" s="50" t="s">
        <v>39</v>
      </c>
      <c r="B23" s="13" t="s">
        <v>66</v>
      </c>
      <c r="C23" s="34" t="s">
        <v>88</v>
      </c>
      <c r="D23" s="42" t="s">
        <v>46</v>
      </c>
      <c r="E23" s="43"/>
      <c r="F23" s="38" t="str">
        <f t="shared" ref="F23:F26" si="17">IF(E23="","",IF(E23="No",0,IF(E23="Needs Improvement", G23-1,G23)))</f>
        <v/>
      </c>
      <c r="G23" s="34">
        <f>IF(E23="N/A",0,IF(C23="Legal Issue", law_pts, IF(C23="Administrative Rules", gpm_pts, trng_pts)))</f>
        <v>2</v>
      </c>
      <c r="H23" s="28"/>
      <c r="J23" s="41" t="s">
        <v>18</v>
      </c>
      <c r="K23" s="34" t="str">
        <f>IF(OR(E23="", E23="N/A", E23="Yes"),"","Gap")</f>
        <v/>
      </c>
      <c r="L23" s="34">
        <f>IF(E23="",0,G23-F23)</f>
        <v>0</v>
      </c>
      <c r="M23" s="34" t="str">
        <f>IF(ISBLANK(E23)=TRUE,"Not Started","Answered")</f>
        <v>Not Started</v>
      </c>
      <c r="N23" s="34"/>
      <c r="O23" s="34"/>
    </row>
    <row r="24" spans="1:15" s="5" customFormat="1" ht="31.2" x14ac:dyDescent="0.3">
      <c r="A24" s="50" t="s">
        <v>40</v>
      </c>
      <c r="B24" s="14" t="s">
        <v>120</v>
      </c>
      <c r="C24" s="34" t="s">
        <v>88</v>
      </c>
      <c r="D24" s="42" t="s">
        <v>14</v>
      </c>
      <c r="E24" s="43"/>
      <c r="F24" s="38" t="str">
        <f t="shared" si="17"/>
        <v/>
      </c>
      <c r="G24" s="34">
        <f>IF(E24="N/A",0,IF(C24="Legal Issue", law_pts, IF(C24="Administrative Rules", gpm_pts, trng_pts)))</f>
        <v>2</v>
      </c>
      <c r="H24" s="28"/>
      <c r="J24" s="41" t="s">
        <v>18</v>
      </c>
      <c r="K24" s="34" t="str">
        <f t="shared" ref="K24:K26" si="18">IF(OR(E24="", E24="N/A", E24="Yes"),"","Gap")</f>
        <v/>
      </c>
      <c r="L24" s="34">
        <f t="shared" ref="L24:L26" si="19">IF(E24="",0,G24-F24)</f>
        <v>0</v>
      </c>
      <c r="M24" s="34" t="str">
        <f t="shared" ref="M24:M26" si="20">IF(ISBLANK(E24)=TRUE,"Not Started","Answered")</f>
        <v>Not Started</v>
      </c>
      <c r="N24" s="34"/>
      <c r="O24" s="34"/>
    </row>
    <row r="25" spans="1:15" s="5" customFormat="1" ht="31.2" x14ac:dyDescent="0.3">
      <c r="A25" s="50" t="s">
        <v>41</v>
      </c>
      <c r="B25" s="13" t="s">
        <v>63</v>
      </c>
      <c r="C25" s="34" t="s">
        <v>88</v>
      </c>
      <c r="D25" s="42" t="s">
        <v>11</v>
      </c>
      <c r="E25" s="43"/>
      <c r="F25" s="38" t="str">
        <f t="shared" si="17"/>
        <v/>
      </c>
      <c r="G25" s="34">
        <f>IF(E25="N/A",0,IF(C25="Legal Issue", law_pts, IF(C25="Administrative Rules", gpm_pts, trng_pts)))</f>
        <v>2</v>
      </c>
      <c r="H25" s="28"/>
      <c r="J25" s="41" t="s">
        <v>18</v>
      </c>
      <c r="K25" s="34" t="str">
        <f t="shared" si="18"/>
        <v/>
      </c>
      <c r="L25" s="34">
        <f t="shared" si="19"/>
        <v>0</v>
      </c>
      <c r="M25" s="34" t="str">
        <f t="shared" si="20"/>
        <v>Not Started</v>
      </c>
      <c r="N25" s="34"/>
      <c r="O25" s="34"/>
    </row>
    <row r="26" spans="1:15" s="5" customFormat="1" ht="28.8" x14ac:dyDescent="0.3">
      <c r="A26" s="50" t="s">
        <v>42</v>
      </c>
      <c r="B26" s="12" t="s">
        <v>64</v>
      </c>
      <c r="C26" s="34" t="s">
        <v>88</v>
      </c>
      <c r="D26" s="42" t="s">
        <v>12</v>
      </c>
      <c r="E26" s="43"/>
      <c r="F26" s="38" t="str">
        <f t="shared" si="17"/>
        <v/>
      </c>
      <c r="G26" s="34">
        <f>IF(E26="N/A",0,IF(C26="Legal Issue", law_pts, IF(C26="Administrative Rules", gpm_pts, trng_pts)))</f>
        <v>2</v>
      </c>
      <c r="H26" s="28"/>
      <c r="J26" s="41" t="s">
        <v>18</v>
      </c>
      <c r="K26" s="34" t="str">
        <f t="shared" si="18"/>
        <v/>
      </c>
      <c r="L26" s="34">
        <f t="shared" si="19"/>
        <v>0</v>
      </c>
      <c r="M26" s="34" t="str">
        <f t="shared" si="20"/>
        <v>Not Started</v>
      </c>
      <c r="N26" s="34"/>
      <c r="O26" s="34"/>
    </row>
    <row r="27" spans="1:15" s="5" customFormat="1" ht="31.2" x14ac:dyDescent="0.3">
      <c r="A27" s="50" t="s">
        <v>43</v>
      </c>
      <c r="B27" s="12" t="s">
        <v>65</v>
      </c>
      <c r="C27" s="34" t="s">
        <v>88</v>
      </c>
      <c r="D27" s="42" t="s">
        <v>16</v>
      </c>
      <c r="E27" s="43"/>
      <c r="F27" s="38" t="str">
        <f>IF(E27="","",IF(E27="Yes",0,IF(E27="Needs Improvement", G27-1,G27)))</f>
        <v/>
      </c>
      <c r="G27" s="34">
        <f>IF(E27="N/A",0,IF(C27="Legal Issue", law_pts, IF(C27="Administrative Rules", gpm_pts, trng_pts)))</f>
        <v>2</v>
      </c>
      <c r="H27" s="28"/>
      <c r="J27" s="41" t="s">
        <v>18</v>
      </c>
      <c r="K27" s="34" t="str">
        <f t="shared" ref="K27" si="21">IF(OR(E27="", E27="N/A", E27="Yes"),"","Gap")</f>
        <v/>
      </c>
      <c r="L27" s="34">
        <f t="shared" ref="L27" si="22">IF(E27="",0,G27-F27)</f>
        <v>0</v>
      </c>
      <c r="M27" s="34" t="str">
        <f t="shared" ref="M27" si="23">IF(ISBLANK(E27)=TRUE,"Not Started","Answered")</f>
        <v>Not Started</v>
      </c>
      <c r="N27" s="34"/>
      <c r="O27" s="34"/>
    </row>
    <row r="28" spans="1:15" s="5" customFormat="1" ht="18" x14ac:dyDescent="0.3">
      <c r="A28" s="138" t="s">
        <v>45</v>
      </c>
      <c r="B28" s="139"/>
      <c r="C28" s="139"/>
      <c r="D28" s="139"/>
      <c r="E28" s="139"/>
      <c r="F28" s="139"/>
      <c r="G28" s="139"/>
      <c r="H28" s="140"/>
      <c r="J28" s="46"/>
      <c r="K28" s="46"/>
      <c r="L28" s="46"/>
      <c r="M28" s="34"/>
      <c r="N28" s="34"/>
      <c r="O28" s="34"/>
    </row>
    <row r="29" spans="1:15" s="5" customFormat="1" ht="46.8" x14ac:dyDescent="0.3">
      <c r="A29" s="50" t="s">
        <v>122</v>
      </c>
      <c r="B29" s="13" t="s">
        <v>70</v>
      </c>
      <c r="C29" s="34"/>
      <c r="D29" s="42"/>
      <c r="E29" s="43"/>
      <c r="F29" s="34"/>
      <c r="G29" s="34"/>
      <c r="H29" s="28"/>
      <c r="J29" s="41" t="s">
        <v>18</v>
      </c>
      <c r="K29" s="34"/>
      <c r="L29" s="34"/>
      <c r="M29" s="34"/>
      <c r="N29" s="34"/>
      <c r="O29" s="34"/>
    </row>
    <row r="34" spans="13:15" x14ac:dyDescent="0.3">
      <c r="M34" s="1"/>
    </row>
    <row r="35" spans="13:15" x14ac:dyDescent="0.3">
      <c r="N35" s="1"/>
      <c r="O35" s="1"/>
    </row>
    <row r="54" spans="13:15" x14ac:dyDescent="0.3">
      <c r="M54" s="1"/>
      <c r="N54" s="1"/>
      <c r="O54" s="1"/>
    </row>
    <row r="59" spans="13:15" x14ac:dyDescent="0.3">
      <c r="M59" s="1"/>
      <c r="N59" s="1"/>
      <c r="O59" s="1"/>
    </row>
    <row r="60" spans="13:15" x14ac:dyDescent="0.3">
      <c r="M60" s="1"/>
      <c r="N60" s="1"/>
      <c r="O60" s="1"/>
    </row>
    <row r="61" spans="13:15" x14ac:dyDescent="0.3">
      <c r="M61" s="1"/>
      <c r="N61" s="1"/>
      <c r="O61" s="1"/>
    </row>
  </sheetData>
  <sheetProtection algorithmName="SHA-512" hashValue="obG+t+OqeJhmi7LB0O56iY7h+3zdhezOhD5BlyZynsWCRMnkKYuhLz8fpcPwRNGTmcRyx00E1Jw1HbSGiHbD2A==" saltValue="6Ko3lnEOFWU6NOTR8ZJDUg==" spinCount="100000" sheet="1" selectLockedCells="1" autoFilter="0"/>
  <mergeCells count="6">
    <mergeCell ref="A22:H22"/>
    <mergeCell ref="A28:H28"/>
    <mergeCell ref="A2:B2"/>
    <mergeCell ref="A1:H1"/>
    <mergeCell ref="C8:D8"/>
    <mergeCell ref="A3:H3"/>
  </mergeCells>
  <dataValidations count="11">
    <dataValidation type="list" errorStyle="warning" allowBlank="1" showErrorMessage="1" errorTitle="Input Error" error="The value you entered is not valid for this cell.  Please try again." promptTitle="Compliance Level" prompt="Select value from the dropdown list." sqref="E20:E21">
      <formula1>"Yes, No"</formula1>
    </dataValidation>
    <dataValidation type="list" errorStyle="warning" allowBlank="1" showErrorMessage="1" errorTitle="Input Error" error="The value you entered is not valid for this cell.  Please try again." promptTitle="Compliance Level" prompt="Select value from the dropdown list." sqref="E15 E24:E27 E19">
      <formula1>"Yes, No, N/A"</formula1>
    </dataValidation>
    <dataValidation errorStyle="warning" allowBlank="1" showErrorMessage="1" errorTitle="Input Error" error="The value you entered is not valid for this cell.  Please try again." promptTitle="Compliance Level" prompt="Select value from the dropdown list." sqref="E29 E8 E17"/>
    <dataValidation type="list" errorStyle="warning" allowBlank="1" showErrorMessage="1" errorTitle="Input Error" error="The value you entered is not valid for this cell.  Please try again." promptTitle="Compliance Level" prompt="Select value from the dropdown list." sqref="E9:E10">
      <formula1>"Yes, Needs Improvement, No, N/A"</formula1>
    </dataValidation>
    <dataValidation type="list" errorStyle="warning" allowBlank="1" showErrorMessage="1" errorTitle="Input Error" error="The value you entered is not valid for this cell.  Please try again." promptTitle="Compliance Level" prompt="Select value from the dropdown list." sqref="E23">
      <formula1>"Yes, Needs Improvement, No"</formula1>
    </dataValidation>
    <dataValidation type="list" errorStyle="warning" allowBlank="1" showErrorMessage="1" errorTitle="Input Error" error="The value you entered is not valid for this cell.  Please try again." prompt="Refer to the &quot;Instructions&quot; tab for scoring guidelines." sqref="E16 E13:E14">
      <formula1>"Yes, No"</formula1>
    </dataValidation>
    <dataValidation type="list" allowBlank="1" showInputMessage="1" showErrorMessage="1" sqref="C4:C7 C29 C23:C27 C9:C21">
      <formula1>ref_type</formula1>
    </dataValidation>
    <dataValidation type="list" errorStyle="warning" allowBlank="1" showErrorMessage="1" errorTitle="Input Error" error="The value you entered is not valid for this cell.  Please try again." promptTitle="Compliance Level" prompt="Select value from the dropdown list." sqref="E4 E18">
      <formula1>"Yes, No, Needs Improvement"</formula1>
    </dataValidation>
    <dataValidation type="list" errorStyle="warning" allowBlank="1" showInputMessage="1" showErrorMessage="1" errorTitle="Input Error" error="The value you entered is not valid for this cell.  Please try again." prompt="Refer to the &quot;Instructions&quot; tab for scoring guidelines." sqref="E5">
      <formula1>"Yes, No, N/A"</formula1>
    </dataValidation>
    <dataValidation type="list" errorStyle="warning" allowBlank="1" showErrorMessage="1" errorTitle="Input Error" error="The value you entered is not valid for this cell.  Please try again." sqref="E6:E7">
      <formula1>"Yes, No"</formula1>
    </dataValidation>
    <dataValidation type="list" errorStyle="warning" allowBlank="1" showErrorMessage="1" errorTitle="Input Error" error="The value you entered is not valid for this cell.  Please try again." prompt="Refer to the &quot;Instructions&quot; tab for scoring guidelines." sqref="E11:E12">
      <formula1>"Yes, No, N/A"</formula1>
    </dataValidation>
  </dataValidations>
  <pageMargins left="0.25" right="0.25" top="0.75" bottom="0.75" header="0.3" footer="0.3"/>
  <pageSetup scale="73" fitToHeight="0" orientation="landscape" r:id="rId1"/>
  <headerFooter>
    <oddHeader>&amp;C&amp;F</oddHeader>
    <oddFooter>&amp;LCopyright © 2010 – DOAS State Purchasing Division&amp;C
Revised 09/01/16&amp;RPage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F98D543DB5F52847A9BB192F044EEE01" ma:contentTypeVersion="66" ma:contentTypeDescription="This is used to create DOAS Asset Library" ma:contentTypeScope="" ma:versionID="f63841302093815abb27a7258ac42c55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bc94845b17ff7bde581384e75a7ff5b5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 minOccurs="0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nillable="true" ma:displayName="Document Category" ma:default="Additional Resources" ma:description="" ma:format="Dropdown" ma:internalName="CategoryDoc">
      <xsd:simpleType>
        <xsd:restriction base="dms:Choice">
          <xsd:enumeration value="Additional Resources"/>
          <xsd:enumeration value="Compliance Tools"/>
          <xsd:enumeration value="P-Card Tools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internalName="DisplayPriorit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readOnly="false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4.xml><?xml version="1.0" encoding="utf-8"?>
<p:properties xmlns:p="http://schemas.microsoft.com/office/2006/metadata/properties" xmlns:xsi="http://www.w3.org/2001/XMLSchema-instance">
  <documentManagement>
    <TaxCatchAll xmlns="64719721-3f2e-4037-a826-7fe00fbc2e3c">
      <Value>20</Value>
    </TaxCatchAll>
    <EffectiveDate xmlns="0726195c-4e5f-403b-b0e6-5bc4fc6a495f">2016-09-27T20:08:00+00:00</EffectiveDate>
    <Division xmlns="64719721-3f2e-4037-a826-7fe00fbc2e3c">State Purchasing</Division>
    <CategoryDoc xmlns="0726195c-4e5f-403b-b0e6-5bc4fc6a495f">Compliance Tools</CategoryDoc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Process Improvement Tools</TermName>
          <TermId xmlns="http://schemas.microsoft.com/office/infopath/2007/PartnerControls">803926a4-11ec-4cbe-8c32-5113c0cbbb39</TermId>
        </TermInfo>
      </Terms>
    </b814ba249d91463a8222dc7318a2e120>
    <DocumentDescription xmlns="0726195c-4e5f-403b-b0e6-5bc4fc6a495f">Excel tool that allows the reviewer to evaluate Sole Source notices by specific criteria - Georgia Law, GPM, Training, and Best Practices</DocumentDescription>
    <TaxKeywordTaxHTField xmlns="64719721-3f2e-4037-a826-7fe00fbc2e3c">
      <Terms xmlns="http://schemas.microsoft.com/office/infopath/2007/PartnerControls"/>
    </TaxKeywordTaxHTField>
    <DisplayPriority xmlns="0726195c-4e5f-403b-b0e6-5bc4fc6a495f" xsi:nil="true"/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698F239-2ECF-437E-B43A-14BC52BC106B}"/>
</file>

<file path=customXml/itemProps2.xml><?xml version="1.0" encoding="utf-8"?>
<ds:datastoreItem xmlns:ds="http://schemas.openxmlformats.org/officeDocument/2006/customXml" ds:itemID="{8D0B36D4-19C7-49F5-A748-A0E4101CA35D}"/>
</file>

<file path=customXml/itemProps3.xml><?xml version="1.0" encoding="utf-8"?>
<ds:datastoreItem xmlns:ds="http://schemas.openxmlformats.org/officeDocument/2006/customXml" ds:itemID="{DDF3A19E-4E66-45D0-AD63-921C397387D5}"/>
</file>

<file path=customXml/itemProps4.xml><?xml version="1.0" encoding="utf-8"?>
<ds:datastoreItem xmlns:ds="http://schemas.openxmlformats.org/officeDocument/2006/customXml" ds:itemID="{D1AF0728-DFFB-4DF9-9A11-40A5D7FAC51E}"/>
</file>

<file path=customXml/itemProps5.xml><?xml version="1.0" encoding="utf-8"?>
<ds:datastoreItem xmlns:ds="http://schemas.openxmlformats.org/officeDocument/2006/customXml" ds:itemID="{A6689099-7071-4936-802D-A158C89C08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Solicitation Information</vt:lpstr>
      <vt:lpstr>Sole Source Scorecard</vt:lpstr>
      <vt:lpstr>answer_status</vt:lpstr>
      <vt:lpstr>comp_level</vt:lpstr>
      <vt:lpstr>drop_downs</vt:lpstr>
      <vt:lpstr>gap</vt:lpstr>
      <vt:lpstr>gpm_pts</vt:lpstr>
      <vt:lpstr>law_pts</vt:lpstr>
      <vt:lpstr>max_score</vt:lpstr>
      <vt:lpstr>not_started</vt:lpstr>
      <vt:lpstr>optional</vt:lpstr>
      <vt:lpstr>'Sole Source Scorecard'!Print_Area</vt:lpstr>
      <vt:lpstr>'Solicitation Information'!Print_Area</vt:lpstr>
      <vt:lpstr>'Sole Source Scorecard'!Print_Titles</vt:lpstr>
      <vt:lpstr>ref_type</vt:lpstr>
      <vt:lpstr>reference</vt:lpstr>
      <vt:lpstr>score</vt:lpstr>
      <vt:lpstr>scored</vt:lpstr>
      <vt:lpstr>trng_pts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Sole Source Scorecard - UPDATED</dc:title>
  <dc:creator>Maggie.Clarke@doas.ga.gov</dc:creator>
  <cp:keywords/>
  <cp:lastModifiedBy>Clarke, Maggie</cp:lastModifiedBy>
  <cp:lastPrinted>2017-02-27T19:40:42Z</cp:lastPrinted>
  <dcterms:created xsi:type="dcterms:W3CDTF">2015-07-07T13:28:52Z</dcterms:created>
  <dcterms:modified xsi:type="dcterms:W3CDTF">2018-02-15T17:11:30Z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0x010100B2029F26138C4BFDA158A626F91E876A00F98D543DB5F52847A9BB192F044EEE01</vt:lpwstr>
  </property>
  <property fmtid="{D5CDD505-2E9C-101B-9397-08002B2CF9AE}" pid="3" name="TaxKeyword">
    <vt:lpwstr/>
  </property>
  <property fmtid="{D5CDD505-2E9C-101B-9397-08002B2CF9AE}" pid="4" name="BusinessServices">
    <vt:lpwstr>20;#Process Improvement Tools|803926a4-11ec-4cbe-8c32-5113c0cbbb39</vt:lpwstr>
  </property>
  <property fmtid="{D5CDD505-2E9C-101B-9397-08002B2CF9AE}" pid="5" name="VideoType">
    <vt:lpwstr/>
  </property>
  <property fmtid="{D5CDD505-2E9C-101B-9397-08002B2CF9AE}" pid="6" name="ValidSession">
    <vt:lpwstr>False</vt:lpwstr>
  </property>
  <property fmtid="{D5CDD505-2E9C-101B-9397-08002B2CF9AE}" pid="7" name="_dlc_DocIdItemGuid">
    <vt:lpwstr>b1abdea8-1237-4eac-a93d-fdfe0bbaa88d</vt:lpwstr>
  </property>
  <property fmtid="{D5CDD505-2E9C-101B-9397-08002B2CF9AE}" pid="8" name="Order">
    <vt:r8>3500</vt:r8>
  </property>
  <property fmtid="{D5CDD505-2E9C-101B-9397-08002B2CF9AE}" pid="9" name="xd_ProgID">
    <vt:lpwstr/>
  </property>
  <property fmtid="{D5CDD505-2E9C-101B-9397-08002B2CF9AE}" pid="10" name="TemplateUrl">
    <vt:lpwstr/>
  </property>
</Properties>
</file>